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lton Evander\Desktop\Quinielas oficial\recapp\"/>
    </mc:Choice>
  </mc:AlternateContent>
  <xr:revisionPtr revIDLastSave="0" documentId="13_ncr:1_{0CEECC53-1D68-4DE0-B969-11A76ADA5EAC}" xr6:coauthVersionLast="47" xr6:coauthVersionMax="47" xr10:uidLastSave="{00000000-0000-0000-0000-000000000000}"/>
  <workbookProtection workbookAlgorithmName="SHA-512" workbookHashValue="OQM5S4wyMDpwFYm6kt0ZjqvH8VXY56d6ymU0knpmUTxk8n3SUUvWgNzAo2WpzOlImIfe6r1wC/dGOCKomiqgdA==" workbookSaltValue="9GtMjwI6OgDrtmM/aRCVCg==" workbookSpinCount="100000" lockStructure="1"/>
  <bookViews>
    <workbookView xWindow="-120" yWindow="-120" windowWidth="20730" windowHeight="11040" xr2:uid="{00000000-000D-0000-FFFF-FFFF00000000}"/>
  </bookViews>
  <sheets>
    <sheet name="Quiniela" sheetId="1" r:id="rId1"/>
    <sheet name="Calculos" sheetId="2" state="veryHidden" r:id="rId2"/>
    <sheet name="Codigo" sheetId="3" state="veryHidden" r:id="rId3"/>
  </sheets>
  <definedNames>
    <definedName name="_xlnm.Print_Area" localSheetId="0">Quiniela!$A$1:$U$166</definedName>
    <definedName name="ListaEquipos">#REF!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3" i="1" l="1"/>
  <c r="G18" i="1"/>
  <c r="D110" i="1"/>
  <c r="D109" i="1"/>
  <c r="D108" i="1"/>
  <c r="D107" i="1"/>
  <c r="D106" i="1"/>
  <c r="D105" i="1"/>
  <c r="G110" i="1"/>
  <c r="G109" i="1"/>
  <c r="G108" i="1"/>
  <c r="G107" i="1"/>
  <c r="G106" i="1"/>
  <c r="G105" i="1"/>
  <c r="G102" i="1"/>
  <c r="G101" i="1"/>
  <c r="D102" i="1"/>
  <c r="D101" i="1"/>
  <c r="D100" i="1"/>
  <c r="D99" i="1"/>
  <c r="D98" i="1"/>
  <c r="D97" i="1"/>
  <c r="G100" i="1"/>
  <c r="G99" i="1"/>
  <c r="G98" i="1"/>
  <c r="G97" i="1"/>
  <c r="G94" i="1"/>
  <c r="G93" i="1"/>
  <c r="D94" i="1"/>
  <c r="D93" i="1"/>
  <c r="D92" i="1"/>
  <c r="D91" i="1"/>
  <c r="D90" i="1"/>
  <c r="D89" i="1"/>
  <c r="G92" i="1"/>
  <c r="G91" i="1"/>
  <c r="G90" i="1"/>
  <c r="G89" i="1"/>
  <c r="G86" i="1"/>
  <c r="G85" i="1"/>
  <c r="D86" i="1"/>
  <c r="D85" i="1"/>
  <c r="D84" i="1"/>
  <c r="D83" i="1"/>
  <c r="D82" i="1"/>
  <c r="D81" i="1"/>
  <c r="G84" i="1"/>
  <c r="G83" i="1"/>
  <c r="G82" i="1"/>
  <c r="G81" i="1"/>
  <c r="D78" i="1"/>
  <c r="D77" i="1"/>
  <c r="D76" i="1"/>
  <c r="D75" i="1"/>
  <c r="D74" i="1"/>
  <c r="D73" i="1"/>
  <c r="G78" i="1"/>
  <c r="G77" i="1"/>
  <c r="G76" i="1"/>
  <c r="G75" i="1"/>
  <c r="G74" i="1"/>
  <c r="G73" i="1"/>
  <c r="D70" i="1"/>
  <c r="D69" i="1"/>
  <c r="D68" i="1"/>
  <c r="D67" i="1"/>
  <c r="D66" i="1"/>
  <c r="D65" i="1"/>
  <c r="G70" i="1"/>
  <c r="G69" i="1"/>
  <c r="G68" i="1"/>
  <c r="G67" i="1"/>
  <c r="G66" i="1"/>
  <c r="G65" i="1"/>
  <c r="G62" i="1"/>
  <c r="G61" i="1"/>
  <c r="G60" i="1"/>
  <c r="G59" i="1"/>
  <c r="G58" i="1"/>
  <c r="G57" i="1"/>
  <c r="D62" i="1"/>
  <c r="D61" i="1"/>
  <c r="D60" i="1"/>
  <c r="D59" i="1"/>
  <c r="D58" i="1"/>
  <c r="D57" i="1"/>
  <c r="G54" i="1"/>
  <c r="G53" i="1"/>
  <c r="D54" i="1"/>
  <c r="D53" i="1"/>
  <c r="D52" i="1"/>
  <c r="D51" i="1"/>
  <c r="D50" i="1"/>
  <c r="D49" i="1"/>
  <c r="G52" i="1"/>
  <c r="G51" i="1"/>
  <c r="G50" i="1"/>
  <c r="G49" i="1"/>
  <c r="G43" i="1"/>
  <c r="D43" i="1"/>
  <c r="G44" i="1"/>
  <c r="D44" i="1"/>
  <c r="D46" i="1"/>
  <c r="D45" i="1"/>
  <c r="D42" i="1"/>
  <c r="D41" i="1"/>
  <c r="G46" i="1"/>
  <c r="G45" i="1"/>
  <c r="G42" i="1"/>
  <c r="G41" i="1"/>
  <c r="G38" i="1"/>
  <c r="G37" i="1"/>
  <c r="G36" i="1"/>
  <c r="G35" i="1"/>
  <c r="G34" i="1"/>
  <c r="G33" i="1"/>
  <c r="D38" i="1"/>
  <c r="D37" i="1"/>
  <c r="D36" i="1"/>
  <c r="D35" i="1"/>
  <c r="D34" i="1"/>
  <c r="D33" i="1"/>
  <c r="G30" i="1"/>
  <c r="G29" i="1"/>
  <c r="G28" i="1"/>
  <c r="G27" i="1"/>
  <c r="G26" i="1"/>
  <c r="G25" i="1"/>
  <c r="D30" i="1"/>
  <c r="D29" i="1"/>
  <c r="D28" i="1"/>
  <c r="D27" i="1"/>
  <c r="D26" i="1"/>
  <c r="D25" i="1"/>
  <c r="D22" i="1"/>
  <c r="G21" i="1"/>
  <c r="D21" i="1"/>
  <c r="G20" i="1"/>
  <c r="D20" i="1"/>
  <c r="G19" i="1"/>
  <c r="D19" i="1"/>
  <c r="E7" i="1" l="1"/>
  <c r="DM4" i="2"/>
  <c r="C151" i="1" l="1"/>
  <c r="C148" i="1"/>
  <c r="C147" i="1"/>
  <c r="C144" i="1"/>
  <c r="C143" i="1"/>
  <c r="C142" i="1"/>
  <c r="C141" i="1"/>
  <c r="C136" i="1"/>
  <c r="C137" i="1"/>
  <c r="C138" i="1"/>
  <c r="C135" i="1"/>
  <c r="C132" i="1"/>
  <c r="C133" i="1"/>
  <c r="C134" i="1"/>
  <c r="C131" i="1"/>
  <c r="C122" i="1"/>
  <c r="C123" i="1"/>
  <c r="C124" i="1"/>
  <c r="C125" i="1"/>
  <c r="C126" i="1"/>
  <c r="C127" i="1"/>
  <c r="C128" i="1"/>
  <c r="C121" i="1"/>
  <c r="C114" i="1"/>
  <c r="C115" i="1"/>
  <c r="C116" i="1"/>
  <c r="C117" i="1"/>
  <c r="C118" i="1"/>
  <c r="C119" i="1"/>
  <c r="C120" i="1"/>
  <c r="C113" i="1"/>
  <c r="ER2" i="3"/>
  <c r="EQ2" i="3"/>
  <c r="EP2" i="3"/>
  <c r="EO2" i="3"/>
  <c r="EN2" i="3"/>
  <c r="EM2" i="3"/>
  <c r="EL2" i="3"/>
  <c r="EK2" i="3"/>
  <c r="EJ2" i="3"/>
  <c r="EI2" i="3"/>
  <c r="EH2" i="3"/>
  <c r="EG2" i="3"/>
  <c r="EF2" i="3"/>
  <c r="EE2" i="3"/>
  <c r="ED2" i="3"/>
  <c r="EC2" i="3"/>
  <c r="EB2" i="3"/>
  <c r="EA2" i="3"/>
  <c r="DZ2" i="3"/>
  <c r="DY2" i="3"/>
  <c r="DX2" i="3"/>
  <c r="DW2" i="3"/>
  <c r="DV2" i="3"/>
  <c r="DU2" i="3"/>
  <c r="DT2" i="3"/>
  <c r="DS2" i="3"/>
  <c r="DR2" i="3"/>
  <c r="DQ2" i="3"/>
  <c r="DP2" i="3"/>
  <c r="DO2" i="3"/>
  <c r="DN2" i="3"/>
  <c r="DM2" i="3"/>
  <c r="DL2" i="3"/>
  <c r="DK2" i="3"/>
  <c r="DJ2" i="3"/>
  <c r="DI2" i="3"/>
  <c r="DH2" i="3"/>
  <c r="DG2" i="3"/>
  <c r="DF2" i="3"/>
  <c r="DE2" i="3"/>
  <c r="DD2" i="3"/>
  <c r="DC2" i="3"/>
  <c r="DB2" i="3"/>
  <c r="DA2" i="3"/>
  <c r="CZ2" i="3"/>
  <c r="CY2" i="3"/>
  <c r="CX2" i="3"/>
  <c r="CW2" i="3"/>
  <c r="CV2" i="3"/>
  <c r="CU2" i="3"/>
  <c r="CT2" i="3"/>
  <c r="CS2" i="3"/>
  <c r="CR2" i="3"/>
  <c r="CQ2" i="3"/>
  <c r="CP2" i="3"/>
  <c r="CO2" i="3"/>
  <c r="CN2" i="3"/>
  <c r="CM2" i="3"/>
  <c r="CL2" i="3"/>
  <c r="CK2" i="3"/>
  <c r="CJ2" i="3"/>
  <c r="CI2" i="3"/>
  <c r="CH2" i="3"/>
  <c r="CG2" i="3"/>
  <c r="CF2" i="3"/>
  <c r="CE2" i="3"/>
  <c r="CD2" i="3"/>
  <c r="CC2" i="3"/>
  <c r="CB2" i="3"/>
  <c r="CA2" i="3"/>
  <c r="BZ2" i="3"/>
  <c r="BY2" i="3"/>
  <c r="BX2" i="3"/>
  <c r="BW2" i="3"/>
  <c r="BV2" i="3"/>
  <c r="BU2" i="3"/>
  <c r="BT2" i="3"/>
  <c r="BS2" i="3"/>
  <c r="BR2" i="3"/>
  <c r="BQ2" i="3"/>
  <c r="BP2" i="3"/>
  <c r="BO2" i="3"/>
  <c r="BN2" i="3"/>
  <c r="BM2" i="3"/>
  <c r="BL2" i="3"/>
  <c r="BK2" i="3"/>
  <c r="BJ2" i="3"/>
  <c r="BI2" i="3"/>
  <c r="BH2" i="3"/>
  <c r="BG2" i="3"/>
  <c r="BF2" i="3"/>
  <c r="BE2" i="3"/>
  <c r="BD2" i="3"/>
  <c r="BC2" i="3"/>
  <c r="BB2" i="3"/>
  <c r="BA2" i="3"/>
  <c r="AZ2" i="3"/>
  <c r="AY2" i="3"/>
  <c r="AX2" i="3"/>
  <c r="AW2" i="3"/>
  <c r="AV2" i="3"/>
  <c r="AU2" i="3"/>
  <c r="AT2" i="3"/>
  <c r="AS2" i="3"/>
  <c r="AR2" i="3"/>
  <c r="AQ2" i="3"/>
  <c r="AP2" i="3"/>
  <c r="AO2" i="3"/>
  <c r="AN2" i="3"/>
  <c r="AM2" i="3"/>
  <c r="AL2" i="3"/>
  <c r="AK2" i="3"/>
  <c r="AJ2" i="3"/>
  <c r="AI2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B2" i="3"/>
  <c r="A2" i="3"/>
  <c r="A187" i="2"/>
  <c r="A186" i="2"/>
  <c r="A185" i="2"/>
  <c r="A184" i="2"/>
  <c r="A173" i="2"/>
  <c r="A172" i="2"/>
  <c r="A171" i="2"/>
  <c r="A170" i="2"/>
  <c r="H170" i="2" s="1"/>
  <c r="A159" i="2"/>
  <c r="A158" i="2"/>
  <c r="A157" i="2"/>
  <c r="A156" i="2"/>
  <c r="H156" i="2" s="1"/>
  <c r="A145" i="2"/>
  <c r="A144" i="2"/>
  <c r="A143" i="2"/>
  <c r="A142" i="2"/>
  <c r="H142" i="2" s="1"/>
  <c r="A131" i="2"/>
  <c r="A130" i="2"/>
  <c r="A129" i="2"/>
  <c r="A128" i="2"/>
  <c r="H128" i="2" s="1"/>
  <c r="A117" i="2"/>
  <c r="A116" i="2"/>
  <c r="A115" i="2"/>
  <c r="A114" i="2"/>
  <c r="H114" i="2" s="1"/>
  <c r="A103" i="2"/>
  <c r="A102" i="2"/>
  <c r="A101" i="2"/>
  <c r="A100" i="2"/>
  <c r="H100" i="2" s="1"/>
  <c r="A89" i="2"/>
  <c r="A88" i="2"/>
  <c r="A87" i="2"/>
  <c r="A86" i="2"/>
  <c r="H86" i="2" s="1"/>
  <c r="A75" i="2"/>
  <c r="A74" i="2"/>
  <c r="A73" i="2"/>
  <c r="A72" i="2"/>
  <c r="A61" i="2"/>
  <c r="A60" i="2"/>
  <c r="A59" i="2"/>
  <c r="A58" i="2"/>
  <c r="A47" i="2"/>
  <c r="A46" i="2"/>
  <c r="A45" i="2"/>
  <c r="A44" i="2"/>
  <c r="A33" i="2"/>
  <c r="A32" i="2"/>
  <c r="A31" i="2"/>
  <c r="A30" i="2"/>
  <c r="AU20" i="2"/>
  <c r="AY11" i="2" s="1"/>
  <c r="AU19" i="2"/>
  <c r="AY12" i="2" s="1"/>
  <c r="AU18" i="2"/>
  <c r="AX11" i="2" s="1"/>
  <c r="AU17" i="2"/>
  <c r="AX12" i="2" s="1"/>
  <c r="AU16" i="2"/>
  <c r="AY9" i="2" s="1"/>
  <c r="AU15" i="2"/>
  <c r="AX9" i="2" s="1"/>
  <c r="AU14" i="2"/>
  <c r="AY10" i="2" s="1"/>
  <c r="AU13" i="2"/>
  <c r="AX10" i="2" s="1"/>
  <c r="AZ12" i="2"/>
  <c r="BD8" i="2" s="1"/>
  <c r="AU12" i="2"/>
  <c r="AY8" i="2" s="1"/>
  <c r="AZ11" i="2"/>
  <c r="BC8" i="2" s="1"/>
  <c r="AU11" i="2"/>
  <c r="AX8" i="2" s="1"/>
  <c r="AZ10" i="2"/>
  <c r="BD6" i="2" s="1"/>
  <c r="AU10" i="2"/>
  <c r="AY7" i="2" s="1"/>
  <c r="AZ9" i="2"/>
  <c r="BC6" i="2" s="1"/>
  <c r="AU9" i="2"/>
  <c r="AY5" i="2" s="1"/>
  <c r="BE8" i="2"/>
  <c r="BI6" i="2" s="1"/>
  <c r="AZ8" i="2"/>
  <c r="BD7" i="2" s="1"/>
  <c r="AU8" i="2"/>
  <c r="AX7" i="2" s="1"/>
  <c r="BE7" i="2"/>
  <c r="BH6" i="2" s="1"/>
  <c r="AZ7" i="2"/>
  <c r="BC7" i="2" s="1"/>
  <c r="AU7" i="2"/>
  <c r="AY6" i="2" s="1"/>
  <c r="BJ6" i="2"/>
  <c r="BN5" i="2" s="1"/>
  <c r="BE6" i="2"/>
  <c r="BI5" i="2" s="1"/>
  <c r="AZ6" i="2"/>
  <c r="BD5" i="2" s="1"/>
  <c r="AU6" i="2"/>
  <c r="AX5" i="2" s="1"/>
  <c r="BO5" i="2"/>
  <c r="BJ5" i="2"/>
  <c r="BM5" i="2" s="1"/>
  <c r="BE5" i="2"/>
  <c r="BH5" i="2" s="1"/>
  <c r="AZ5" i="2"/>
  <c r="BC5" i="2" s="1"/>
  <c r="D141" i="1" s="1"/>
  <c r="DK4" i="2" s="1"/>
  <c r="AU5" i="2"/>
  <c r="AX6" i="2" s="1"/>
  <c r="C110" i="1"/>
  <c r="C109" i="1"/>
  <c r="C108" i="1"/>
  <c r="C107" i="1"/>
  <c r="C106" i="1"/>
  <c r="C105" i="1"/>
  <c r="C102" i="1"/>
  <c r="C101" i="1"/>
  <c r="C100" i="1"/>
  <c r="C99" i="1"/>
  <c r="C98" i="1"/>
  <c r="C97" i="1"/>
  <c r="C94" i="1"/>
  <c r="C93" i="1"/>
  <c r="C92" i="1"/>
  <c r="C91" i="1"/>
  <c r="C90" i="1"/>
  <c r="C89" i="1"/>
  <c r="C86" i="1"/>
  <c r="C85" i="1"/>
  <c r="C84" i="1"/>
  <c r="C83" i="1"/>
  <c r="C82" i="1"/>
  <c r="C81" i="1"/>
  <c r="C78" i="1"/>
  <c r="C77" i="1"/>
  <c r="C76" i="1"/>
  <c r="C75" i="1"/>
  <c r="C74" i="1"/>
  <c r="C73" i="1"/>
  <c r="C70" i="1"/>
  <c r="C69" i="1"/>
  <c r="C68" i="1"/>
  <c r="C67" i="1"/>
  <c r="C66" i="1"/>
  <c r="C65" i="1"/>
  <c r="C62" i="1"/>
  <c r="C61" i="1"/>
  <c r="C60" i="1"/>
  <c r="C59" i="1"/>
  <c r="C58" i="1"/>
  <c r="C57" i="1"/>
  <c r="C54" i="1"/>
  <c r="C53" i="1"/>
  <c r="C52" i="1"/>
  <c r="C51" i="1"/>
  <c r="C50" i="1"/>
  <c r="C49" i="1"/>
  <c r="C46" i="1"/>
  <c r="C45" i="1"/>
  <c r="C44" i="1"/>
  <c r="C43" i="1"/>
  <c r="C42" i="1"/>
  <c r="C41" i="1"/>
  <c r="C36" i="1"/>
  <c r="C35" i="1"/>
  <c r="C34" i="1"/>
  <c r="C33" i="1"/>
  <c r="C30" i="1"/>
  <c r="C29" i="1"/>
  <c r="C28" i="1"/>
  <c r="C27" i="1"/>
  <c r="C26" i="1"/>
  <c r="C25" i="1"/>
  <c r="C22" i="1"/>
  <c r="G22" i="1"/>
  <c r="C21" i="1"/>
  <c r="C20" i="1"/>
  <c r="C19" i="1"/>
  <c r="C18" i="1"/>
  <c r="D18" i="1"/>
  <c r="C17" i="1"/>
  <c r="G17" i="1"/>
  <c r="D17" i="1"/>
  <c r="C2" i="3"/>
  <c r="CR49" i="2" l="1"/>
  <c r="G185" i="2"/>
  <c r="H185" i="2"/>
  <c r="CR50" i="2"/>
  <c r="G186" i="2"/>
  <c r="H186" i="2"/>
  <c r="CR51" i="2"/>
  <c r="G187" i="2"/>
  <c r="H187" i="2"/>
  <c r="H184" i="2"/>
  <c r="G184" i="2"/>
  <c r="CR48" i="2"/>
  <c r="CR45" i="2"/>
  <c r="G171" i="2"/>
  <c r="CU45" i="2" s="1"/>
  <c r="H171" i="2"/>
  <c r="CV45" i="2" s="1"/>
  <c r="CR46" i="2"/>
  <c r="G172" i="2"/>
  <c r="CU46" i="2" s="1"/>
  <c r="H172" i="2"/>
  <c r="CV46" i="2" s="1"/>
  <c r="CR47" i="2"/>
  <c r="G173" i="2"/>
  <c r="CU47" i="2" s="1"/>
  <c r="H173" i="2"/>
  <c r="CV47" i="2" s="1"/>
  <c r="CR44" i="2"/>
  <c r="G170" i="2"/>
  <c r="CU44" i="2" s="1"/>
  <c r="CR41" i="2"/>
  <c r="G157" i="2"/>
  <c r="CU41" i="2" s="1"/>
  <c r="H157" i="2"/>
  <c r="CV41" i="2" s="1"/>
  <c r="CR42" i="2"/>
  <c r="G158" i="2"/>
  <c r="CU42" i="2" s="1"/>
  <c r="H158" i="2"/>
  <c r="CV42" i="2" s="1"/>
  <c r="CR43" i="2"/>
  <c r="G159" i="2"/>
  <c r="CU43" i="2" s="1"/>
  <c r="H159" i="2"/>
  <c r="CV43" i="2" s="1"/>
  <c r="CR40" i="2"/>
  <c r="G156" i="2"/>
  <c r="CU40" i="2" s="1"/>
  <c r="CR37" i="2"/>
  <c r="G143" i="2"/>
  <c r="CU37" i="2" s="1"/>
  <c r="H143" i="2"/>
  <c r="CV37" i="2" s="1"/>
  <c r="CR38" i="2"/>
  <c r="G144" i="2"/>
  <c r="CU38" i="2" s="1"/>
  <c r="H144" i="2"/>
  <c r="CV38" i="2" s="1"/>
  <c r="CR39" i="2"/>
  <c r="G145" i="2"/>
  <c r="CU39" i="2" s="1"/>
  <c r="H145" i="2"/>
  <c r="CV39" i="2" s="1"/>
  <c r="CR36" i="2"/>
  <c r="G142" i="2"/>
  <c r="CU36" i="2" s="1"/>
  <c r="CR34" i="2"/>
  <c r="G130" i="2"/>
  <c r="CU34" i="2" s="1"/>
  <c r="H130" i="2"/>
  <c r="CV34" i="2" s="1"/>
  <c r="CR35" i="2"/>
  <c r="G131" i="2"/>
  <c r="CU35" i="2" s="1"/>
  <c r="H131" i="2"/>
  <c r="CV35" i="2" s="1"/>
  <c r="CR33" i="2"/>
  <c r="G129" i="2"/>
  <c r="CU33" i="2" s="1"/>
  <c r="H129" i="2"/>
  <c r="CV33" i="2" s="1"/>
  <c r="CR32" i="2"/>
  <c r="G128" i="2"/>
  <c r="CU32" i="2" s="1"/>
  <c r="CR29" i="2"/>
  <c r="G115" i="2"/>
  <c r="CU29" i="2" s="1"/>
  <c r="H115" i="2"/>
  <c r="CV29" i="2" s="1"/>
  <c r="CR30" i="2"/>
  <c r="G116" i="2"/>
  <c r="CU30" i="2" s="1"/>
  <c r="H116" i="2"/>
  <c r="CV30" i="2" s="1"/>
  <c r="CR31" i="2"/>
  <c r="G117" i="2"/>
  <c r="CU31" i="2" s="1"/>
  <c r="H117" i="2"/>
  <c r="CV31" i="2" s="1"/>
  <c r="CR28" i="2"/>
  <c r="G114" i="2"/>
  <c r="CU28" i="2" s="1"/>
  <c r="CR25" i="2"/>
  <c r="G101" i="2"/>
  <c r="CU25" i="2" s="1"/>
  <c r="H101" i="2"/>
  <c r="CV25" i="2" s="1"/>
  <c r="CR26" i="2"/>
  <c r="G102" i="2"/>
  <c r="CU26" i="2" s="1"/>
  <c r="H102" i="2"/>
  <c r="CV26" i="2" s="1"/>
  <c r="CR27" i="2"/>
  <c r="G103" i="2"/>
  <c r="CU27" i="2" s="1"/>
  <c r="H103" i="2"/>
  <c r="CV27" i="2" s="1"/>
  <c r="CR24" i="2"/>
  <c r="G100" i="2"/>
  <c r="CU24" i="2" s="1"/>
  <c r="CR22" i="2"/>
  <c r="G88" i="2"/>
  <c r="H88" i="2"/>
  <c r="CR23" i="2"/>
  <c r="G89" i="2"/>
  <c r="H89" i="2"/>
  <c r="CR21" i="2"/>
  <c r="G87" i="2"/>
  <c r="H87" i="2"/>
  <c r="CR20" i="2"/>
  <c r="G86" i="2"/>
  <c r="G73" i="2"/>
  <c r="CU17" i="2" s="1"/>
  <c r="H73" i="2"/>
  <c r="CV17" i="2" s="1"/>
  <c r="G74" i="2"/>
  <c r="CU18" i="2" s="1"/>
  <c r="H74" i="2"/>
  <c r="CV18" i="2" s="1"/>
  <c r="G75" i="2"/>
  <c r="CU19" i="2" s="1"/>
  <c r="H75" i="2"/>
  <c r="CV19" i="2" s="1"/>
  <c r="H72" i="2"/>
  <c r="CV16" i="2" s="1"/>
  <c r="G72" i="2"/>
  <c r="CU16" i="2" s="1"/>
  <c r="CR17" i="2"/>
  <c r="CR18" i="2"/>
  <c r="CR19" i="2"/>
  <c r="CR16" i="2"/>
  <c r="CR13" i="2"/>
  <c r="G59" i="2"/>
  <c r="CU13" i="2" s="1"/>
  <c r="H59" i="2"/>
  <c r="CV13" i="2" s="1"/>
  <c r="CR14" i="2"/>
  <c r="G60" i="2"/>
  <c r="CU14" i="2" s="1"/>
  <c r="H60" i="2"/>
  <c r="CV14" i="2" s="1"/>
  <c r="CR15" i="2"/>
  <c r="G61" i="2"/>
  <c r="CU15" i="2" s="1"/>
  <c r="H61" i="2"/>
  <c r="CV15" i="2" s="1"/>
  <c r="H58" i="2"/>
  <c r="CV12" i="2" s="1"/>
  <c r="G58" i="2"/>
  <c r="CU12" i="2" s="1"/>
  <c r="CR12" i="2"/>
  <c r="CR9" i="2"/>
  <c r="G45" i="2"/>
  <c r="CU9" i="2" s="1"/>
  <c r="H45" i="2"/>
  <c r="CV9" i="2" s="1"/>
  <c r="CR10" i="2"/>
  <c r="G46" i="2"/>
  <c r="CU10" i="2" s="1"/>
  <c r="H46" i="2"/>
  <c r="CV10" i="2" s="1"/>
  <c r="CR11" i="2"/>
  <c r="G47" i="2"/>
  <c r="CU11" i="2" s="1"/>
  <c r="H47" i="2"/>
  <c r="CV11" i="2" s="1"/>
  <c r="G44" i="2"/>
  <c r="CU8" i="2" s="1"/>
  <c r="H44" i="2"/>
  <c r="CV8" i="2" s="1"/>
  <c r="CR8" i="2"/>
  <c r="H33" i="2"/>
  <c r="CV7" i="2" s="1"/>
  <c r="H32" i="2"/>
  <c r="CV6" i="2" s="1"/>
  <c r="H31" i="2"/>
  <c r="CV5" i="2" s="1"/>
  <c r="G33" i="2"/>
  <c r="CU7" i="2" s="1"/>
  <c r="G32" i="2"/>
  <c r="CU6" i="2" s="1"/>
  <c r="G31" i="2"/>
  <c r="CU5" i="2" s="1"/>
  <c r="CR5" i="2"/>
  <c r="CR6" i="2"/>
  <c r="CR7" i="2"/>
  <c r="H30" i="2"/>
  <c r="CV4" i="2" s="1"/>
  <c r="CR4" i="2"/>
  <c r="G30" i="2"/>
  <c r="CU4" i="2" s="1"/>
  <c r="B125" i="2"/>
  <c r="E125" i="2" s="1"/>
  <c r="B122" i="2"/>
  <c r="B111" i="2"/>
  <c r="C111" i="2" s="1"/>
  <c r="B135" i="2"/>
  <c r="C135" i="2" s="1"/>
  <c r="B165" i="2"/>
  <c r="C165" i="2" s="1"/>
  <c r="B110" i="2"/>
  <c r="B108" i="2"/>
  <c r="D108" i="2" s="1"/>
  <c r="B95" i="2"/>
  <c r="C95" i="2" s="1"/>
  <c r="B107" i="2"/>
  <c r="C107" i="2" s="1"/>
  <c r="B25" i="2"/>
  <c r="C25" i="2" s="1"/>
  <c r="B167" i="2"/>
  <c r="C167" i="2" s="1"/>
  <c r="B152" i="2"/>
  <c r="C152" i="2" s="1"/>
  <c r="B124" i="2"/>
  <c r="D124" i="2" s="1"/>
  <c r="B39" i="2"/>
  <c r="C39" i="2" s="1"/>
  <c r="B180" i="2"/>
  <c r="B177" i="2"/>
  <c r="B162" i="2"/>
  <c r="E162" i="2" s="1"/>
  <c r="B149" i="2"/>
  <c r="C149" i="2" s="1"/>
  <c r="B138" i="2"/>
  <c r="D138" i="2" s="1"/>
  <c r="B121" i="2"/>
  <c r="D121" i="2" s="1"/>
  <c r="B96" i="2"/>
  <c r="D96" i="2" s="1"/>
  <c r="B69" i="2"/>
  <c r="C69" i="2" s="1"/>
  <c r="B52" i="2"/>
  <c r="C52" i="2" s="1"/>
  <c r="B40" i="2"/>
  <c r="C40" i="2" s="1"/>
  <c r="B37" i="2"/>
  <c r="C37" i="2" s="1"/>
  <c r="B23" i="2"/>
  <c r="C23" i="2" s="1"/>
  <c r="B151" i="2"/>
  <c r="C151" i="2" s="1"/>
  <c r="B97" i="2"/>
  <c r="C97" i="2" s="1"/>
  <c r="B137" i="2"/>
  <c r="D137" i="2" s="1"/>
  <c r="B153" i="2"/>
  <c r="C153" i="2" s="1"/>
  <c r="B27" i="2"/>
  <c r="D27" i="2" s="1"/>
  <c r="B163" i="2"/>
  <c r="C163" i="2" s="1"/>
  <c r="B22" i="2"/>
  <c r="B38" i="2"/>
  <c r="C38" i="2" s="1"/>
  <c r="B54" i="2"/>
  <c r="D54" i="2" s="1"/>
  <c r="B94" i="2"/>
  <c r="C94" i="2" s="1"/>
  <c r="B150" i="2"/>
  <c r="C150" i="2" s="1"/>
  <c r="B166" i="2"/>
  <c r="C166" i="2" s="1"/>
  <c r="B36" i="2"/>
  <c r="C36" i="2" s="1"/>
  <c r="B120" i="2"/>
  <c r="C120" i="2" s="1"/>
  <c r="B148" i="2"/>
  <c r="C148" i="2" s="1"/>
  <c r="B93" i="2"/>
  <c r="C93" i="2" s="1"/>
  <c r="B92" i="2"/>
  <c r="C92" i="2" s="1"/>
  <c r="B53" i="2"/>
  <c r="B55" i="2"/>
  <c r="B51" i="2"/>
  <c r="B50" i="2"/>
  <c r="B139" i="2"/>
  <c r="C139" i="2" s="1"/>
  <c r="B136" i="2"/>
  <c r="C136" i="2" s="1"/>
  <c r="B134" i="2"/>
  <c r="C134" i="2" s="1"/>
  <c r="B164" i="2"/>
  <c r="C164" i="2" s="1"/>
  <c r="B109" i="2"/>
  <c r="B106" i="2"/>
  <c r="B64" i="2"/>
  <c r="B65" i="2"/>
  <c r="B66" i="2"/>
  <c r="B68" i="2"/>
  <c r="B41" i="2"/>
  <c r="B67" i="2"/>
  <c r="B123" i="2"/>
  <c r="B26" i="2"/>
  <c r="B24" i="2"/>
  <c r="CD21" i="2"/>
  <c r="F137" i="1"/>
  <c r="F138" i="1"/>
  <c r="CE21" i="2"/>
  <c r="D137" i="1"/>
  <c r="CD20" i="2"/>
  <c r="D138" i="1"/>
  <c r="CE20" i="2"/>
  <c r="D135" i="1"/>
  <c r="CB20" i="2"/>
  <c r="F136" i="1"/>
  <c r="CC21" i="2"/>
  <c r="D136" i="1"/>
  <c r="CC20" i="2"/>
  <c r="F144" i="1"/>
  <c r="DK11" i="2" s="1"/>
  <c r="CI21" i="2"/>
  <c r="C38" i="1" s="1"/>
  <c r="CB21" i="2"/>
  <c r="F135" i="1"/>
  <c r="CI20" i="2"/>
  <c r="C37" i="1" s="1"/>
  <c r="D144" i="1"/>
  <c r="DK10" i="2" s="1"/>
  <c r="CA21" i="2"/>
  <c r="F134" i="1"/>
  <c r="CA20" i="2"/>
  <c r="D134" i="1"/>
  <c r="CH21" i="2"/>
  <c r="F143" i="1"/>
  <c r="DK9" i="2" s="1"/>
  <c r="CH20" i="2"/>
  <c r="D143" i="1"/>
  <c r="DK8" i="2" s="1"/>
  <c r="BZ21" i="2"/>
  <c r="F133" i="1"/>
  <c r="BZ20" i="2"/>
  <c r="D133" i="1"/>
  <c r="GC2" i="3" s="1"/>
  <c r="CK21" i="2"/>
  <c r="F148" i="1"/>
  <c r="DI7" i="2" s="1"/>
  <c r="CK20" i="2"/>
  <c r="D148" i="1"/>
  <c r="DI6" i="2" s="1"/>
  <c r="CG21" i="2"/>
  <c r="F142" i="1"/>
  <c r="DK7" i="2" s="1"/>
  <c r="CG20" i="2"/>
  <c r="D142" i="1"/>
  <c r="DK6" i="2" s="1"/>
  <c r="BY21" i="2"/>
  <c r="F132" i="1"/>
  <c r="GB2" i="3" s="1"/>
  <c r="CL21" i="2"/>
  <c r="F151" i="1"/>
  <c r="CJ21" i="2"/>
  <c r="F147" i="1"/>
  <c r="DI5" i="2" s="1"/>
  <c r="CF21" i="2"/>
  <c r="F141" i="1"/>
  <c r="DK5" i="2" s="1"/>
  <c r="BX21" i="2"/>
  <c r="F131" i="1"/>
  <c r="FZ2" i="3" s="1"/>
  <c r="BX20" i="2"/>
  <c r="D131" i="1"/>
  <c r="FY2" i="3" s="1"/>
  <c r="CL20" i="2"/>
  <c r="D151" i="1"/>
  <c r="D147" i="1"/>
  <c r="DI4" i="2" s="1"/>
  <c r="CJ20" i="2"/>
  <c r="CF20" i="2"/>
  <c r="BY20" i="2"/>
  <c r="D132" i="1"/>
  <c r="GA2" i="3" s="1"/>
  <c r="B170" i="2"/>
  <c r="B173" i="2"/>
  <c r="C173" i="2"/>
  <c r="E173" i="2"/>
  <c r="D173" i="2"/>
  <c r="E171" i="2"/>
  <c r="D171" i="2"/>
  <c r="C171" i="2"/>
  <c r="B171" i="2"/>
  <c r="CV44" i="2"/>
  <c r="E170" i="2"/>
  <c r="B172" i="2"/>
  <c r="C172" i="2"/>
  <c r="D170" i="2"/>
  <c r="D172" i="2"/>
  <c r="E172" i="2"/>
  <c r="C170" i="2"/>
  <c r="B159" i="2"/>
  <c r="C159" i="2"/>
  <c r="D159" i="2"/>
  <c r="E159" i="2"/>
  <c r="B156" i="2"/>
  <c r="C156" i="2"/>
  <c r="D156" i="2"/>
  <c r="E156" i="2"/>
  <c r="CV40" i="2"/>
  <c r="B157" i="2"/>
  <c r="C157" i="2"/>
  <c r="D157" i="2"/>
  <c r="E157" i="2"/>
  <c r="B158" i="2"/>
  <c r="C158" i="2"/>
  <c r="D158" i="2"/>
  <c r="E158" i="2"/>
  <c r="B143" i="2"/>
  <c r="CV36" i="2"/>
  <c r="E142" i="2"/>
  <c r="D142" i="2"/>
  <c r="E145" i="2"/>
  <c r="D145" i="2"/>
  <c r="C145" i="2"/>
  <c r="B145" i="2"/>
  <c r="C142" i="2"/>
  <c r="E144" i="2"/>
  <c r="C144" i="2"/>
  <c r="B144" i="2"/>
  <c r="E143" i="2"/>
  <c r="D144" i="2"/>
  <c r="D143" i="2"/>
  <c r="C143" i="2"/>
  <c r="B142" i="2"/>
  <c r="E128" i="2"/>
  <c r="D128" i="2"/>
  <c r="C128" i="2"/>
  <c r="B128" i="2"/>
  <c r="B129" i="2"/>
  <c r="CV32" i="2"/>
  <c r="E131" i="2"/>
  <c r="D131" i="2"/>
  <c r="C131" i="2"/>
  <c r="B131" i="2"/>
  <c r="E130" i="2"/>
  <c r="D130" i="2"/>
  <c r="C130" i="2"/>
  <c r="B130" i="2"/>
  <c r="E129" i="2"/>
  <c r="D129" i="2"/>
  <c r="C129" i="2"/>
  <c r="E114" i="2"/>
  <c r="D114" i="2"/>
  <c r="C114" i="2"/>
  <c r="B114" i="2"/>
  <c r="C116" i="2"/>
  <c r="E117" i="2"/>
  <c r="D117" i="2"/>
  <c r="C117" i="2"/>
  <c r="B117" i="2"/>
  <c r="E116" i="2"/>
  <c r="D116" i="2"/>
  <c r="B116" i="2"/>
  <c r="E115" i="2"/>
  <c r="D115" i="2"/>
  <c r="C115" i="2"/>
  <c r="B115" i="2"/>
  <c r="CV28" i="2"/>
  <c r="D102" i="2"/>
  <c r="C102" i="2"/>
  <c r="C101" i="2"/>
  <c r="D101" i="2"/>
  <c r="B103" i="2"/>
  <c r="C103" i="2"/>
  <c r="E101" i="2"/>
  <c r="B102" i="2"/>
  <c r="E102" i="2"/>
  <c r="B101" i="2"/>
  <c r="CV24" i="2"/>
  <c r="E100" i="2"/>
  <c r="D103" i="2"/>
  <c r="E103" i="2"/>
  <c r="B100" i="2"/>
  <c r="C100" i="2"/>
  <c r="D100" i="2"/>
  <c r="E72" i="2"/>
  <c r="B73" i="2"/>
  <c r="C73" i="2"/>
  <c r="C75" i="2"/>
  <c r="B75" i="2"/>
  <c r="B72" i="2"/>
  <c r="C72" i="2"/>
  <c r="D72" i="2"/>
  <c r="E75" i="2"/>
  <c r="D75" i="2"/>
  <c r="D73" i="2"/>
  <c r="E73" i="2"/>
  <c r="B74" i="2"/>
  <c r="C74" i="2"/>
  <c r="D74" i="2"/>
  <c r="E74" i="2"/>
  <c r="E58" i="2"/>
  <c r="D58" i="2"/>
  <c r="C58" i="2"/>
  <c r="B58" i="2"/>
  <c r="E59" i="2"/>
  <c r="E61" i="2"/>
  <c r="D61" i="2"/>
  <c r="C61" i="2"/>
  <c r="B61" i="2"/>
  <c r="E60" i="2"/>
  <c r="D60" i="2"/>
  <c r="C60" i="2"/>
  <c r="B60" i="2"/>
  <c r="D59" i="2"/>
  <c r="C59" i="2"/>
  <c r="B59" i="2"/>
  <c r="B47" i="2"/>
  <c r="C44" i="2"/>
  <c r="D44" i="2"/>
  <c r="E44" i="2"/>
  <c r="B45" i="2"/>
  <c r="C45" i="2"/>
  <c r="D45" i="2"/>
  <c r="E45" i="2"/>
  <c r="C47" i="2"/>
  <c r="B46" i="2"/>
  <c r="C46" i="2"/>
  <c r="D46" i="2"/>
  <c r="E46" i="2"/>
  <c r="B44" i="2"/>
  <c r="D47" i="2"/>
  <c r="E47" i="2"/>
  <c r="E31" i="2"/>
  <c r="D31" i="2"/>
  <c r="C31" i="2"/>
  <c r="B31" i="2"/>
  <c r="E30" i="2"/>
  <c r="D30" i="2"/>
  <c r="B30" i="2"/>
  <c r="C32" i="2"/>
  <c r="D32" i="2"/>
  <c r="E32" i="2"/>
  <c r="B32" i="2"/>
  <c r="B33" i="2"/>
  <c r="C33" i="2"/>
  <c r="D33" i="2"/>
  <c r="E33" i="2"/>
  <c r="C30" i="2"/>
  <c r="B178" i="2" l="1"/>
  <c r="D178" i="2" s="1"/>
  <c r="C22" i="2"/>
  <c r="C125" i="2"/>
  <c r="D125" i="2"/>
  <c r="C122" i="2"/>
  <c r="E122" i="2"/>
  <c r="D122" i="2"/>
  <c r="D111" i="2"/>
  <c r="E111" i="2"/>
  <c r="D135" i="2"/>
  <c r="E135" i="2"/>
  <c r="D165" i="2"/>
  <c r="E165" i="2"/>
  <c r="C110" i="2"/>
  <c r="D110" i="2"/>
  <c r="E110" i="2"/>
  <c r="D95" i="2"/>
  <c r="E95" i="2"/>
  <c r="E108" i="2"/>
  <c r="C108" i="2"/>
  <c r="E107" i="2"/>
  <c r="D107" i="2"/>
  <c r="D25" i="2"/>
  <c r="E25" i="2"/>
  <c r="D167" i="2"/>
  <c r="E167" i="2"/>
  <c r="D152" i="2"/>
  <c r="C177" i="2"/>
  <c r="C121" i="2"/>
  <c r="E152" i="2"/>
  <c r="E124" i="2"/>
  <c r="C124" i="2"/>
  <c r="D39" i="2"/>
  <c r="E39" i="2"/>
  <c r="D180" i="2"/>
  <c r="E180" i="2"/>
  <c r="C162" i="2"/>
  <c r="E177" i="2"/>
  <c r="D162" i="2"/>
  <c r="C137" i="2"/>
  <c r="D149" i="2"/>
  <c r="E149" i="2"/>
  <c r="E138" i="2"/>
  <c r="C138" i="2"/>
  <c r="E121" i="2"/>
  <c r="C96" i="2"/>
  <c r="E96" i="2"/>
  <c r="D69" i="2"/>
  <c r="E69" i="2"/>
  <c r="E52" i="2"/>
  <c r="C54" i="2"/>
  <c r="D52" i="2"/>
  <c r="D40" i="2"/>
  <c r="E40" i="2"/>
  <c r="D37" i="2"/>
  <c r="E151" i="2"/>
  <c r="E37" i="2"/>
  <c r="E23" i="2"/>
  <c r="D23" i="2"/>
  <c r="C27" i="2"/>
  <c r="E137" i="2"/>
  <c r="D97" i="2"/>
  <c r="E36" i="2"/>
  <c r="D151" i="2"/>
  <c r="E54" i="2"/>
  <c r="D120" i="2"/>
  <c r="E27" i="2"/>
  <c r="E97" i="2"/>
  <c r="D94" i="2"/>
  <c r="D153" i="2"/>
  <c r="D36" i="2"/>
  <c r="E153" i="2"/>
  <c r="E94" i="2"/>
  <c r="D38" i="2"/>
  <c r="E22" i="2"/>
  <c r="D22" i="2"/>
  <c r="E38" i="2"/>
  <c r="E120" i="2"/>
  <c r="D166" i="2"/>
  <c r="E166" i="2"/>
  <c r="D150" i="2"/>
  <c r="E150" i="2"/>
  <c r="E163" i="2"/>
  <c r="D163" i="2"/>
  <c r="E148" i="2"/>
  <c r="D148" i="2"/>
  <c r="E93" i="2"/>
  <c r="D93" i="2"/>
  <c r="E92" i="2"/>
  <c r="D92" i="2"/>
  <c r="C53" i="2"/>
  <c r="D53" i="2"/>
  <c r="E53" i="2"/>
  <c r="C55" i="2"/>
  <c r="E55" i="2"/>
  <c r="D55" i="2"/>
  <c r="C51" i="2"/>
  <c r="E51" i="2"/>
  <c r="D51" i="2"/>
  <c r="C50" i="2"/>
  <c r="D50" i="2"/>
  <c r="E50" i="2"/>
  <c r="E136" i="2"/>
  <c r="D136" i="2"/>
  <c r="E134" i="2"/>
  <c r="D134" i="2"/>
  <c r="D139" i="2"/>
  <c r="E139" i="2"/>
  <c r="D164" i="2"/>
  <c r="E164" i="2"/>
  <c r="C109" i="2"/>
  <c r="E109" i="2"/>
  <c r="D109" i="2"/>
  <c r="C106" i="2"/>
  <c r="E106" i="2"/>
  <c r="D106" i="2"/>
  <c r="C64" i="2"/>
  <c r="E64" i="2"/>
  <c r="D64" i="2"/>
  <c r="I170" i="2"/>
  <c r="CW44" i="2" s="1"/>
  <c r="C65" i="2"/>
  <c r="E65" i="2"/>
  <c r="D65" i="2"/>
  <c r="F72" i="2"/>
  <c r="CT16" i="2" s="1"/>
  <c r="C66" i="2"/>
  <c r="E66" i="2"/>
  <c r="D66" i="2"/>
  <c r="I73" i="2"/>
  <c r="CW17" i="2" s="1"/>
  <c r="C68" i="2"/>
  <c r="D68" i="2"/>
  <c r="E68" i="2"/>
  <c r="C41" i="2"/>
  <c r="D41" i="2"/>
  <c r="E41" i="2"/>
  <c r="I75" i="2"/>
  <c r="CW19" i="2" s="1"/>
  <c r="C67" i="2"/>
  <c r="D67" i="2"/>
  <c r="E67" i="2"/>
  <c r="C123" i="2"/>
  <c r="E123" i="2"/>
  <c r="D123" i="2"/>
  <c r="F30" i="2"/>
  <c r="CT4" i="2" s="1"/>
  <c r="I30" i="2"/>
  <c r="CW4" i="2" s="1"/>
  <c r="C26" i="2"/>
  <c r="E26" i="2"/>
  <c r="D26" i="2"/>
  <c r="I116" i="2"/>
  <c r="CW30" i="2" s="1"/>
  <c r="I101" i="2"/>
  <c r="CW25" i="2" s="1"/>
  <c r="F145" i="2"/>
  <c r="CT39" i="2" s="1"/>
  <c r="I100" i="2"/>
  <c r="CW24" i="2" s="1"/>
  <c r="I144" i="2"/>
  <c r="CW38" i="2" s="1"/>
  <c r="I45" i="2"/>
  <c r="CW9" i="2" s="1"/>
  <c r="C24" i="2"/>
  <c r="E24" i="2"/>
  <c r="D24" i="2"/>
  <c r="F170" i="2"/>
  <c r="CT44" i="2" s="1"/>
  <c r="I61" i="2"/>
  <c r="CW15" i="2" s="1"/>
  <c r="I131" i="2"/>
  <c r="CW35" i="2" s="1"/>
  <c r="I58" i="2"/>
  <c r="CW12" i="2" s="1"/>
  <c r="I142" i="2"/>
  <c r="CW36" i="2" s="1"/>
  <c r="F171" i="2"/>
  <c r="CT45" i="2" s="1"/>
  <c r="I173" i="2"/>
  <c r="CW47" i="2" s="1"/>
  <c r="F31" i="2"/>
  <c r="CT5" i="2" s="1"/>
  <c r="I59" i="2"/>
  <c r="CW13" i="2" s="1"/>
  <c r="F100" i="2"/>
  <c r="CT24" i="2" s="1"/>
  <c r="I47" i="2"/>
  <c r="CW11" i="2" s="1"/>
  <c r="F143" i="2"/>
  <c r="CT37" i="2" s="1"/>
  <c r="F60" i="2"/>
  <c r="CT14" i="2" s="1"/>
  <c r="I129" i="2"/>
  <c r="CW33" i="2" s="1"/>
  <c r="F144" i="2"/>
  <c r="CT38" i="2" s="1"/>
  <c r="I130" i="2"/>
  <c r="CW34" i="2" s="1"/>
  <c r="F131" i="2"/>
  <c r="CT35" i="2" s="1"/>
  <c r="F114" i="2"/>
  <c r="CT28" i="2" s="1"/>
  <c r="I117" i="2"/>
  <c r="CW31" i="2" s="1"/>
  <c r="I60" i="2"/>
  <c r="CW14" i="2" s="1"/>
  <c r="I143" i="2"/>
  <c r="CW37" i="2" s="1"/>
  <c r="I115" i="2"/>
  <c r="CW29" i="2" s="1"/>
  <c r="F130" i="2"/>
  <c r="CT34" i="2" s="1"/>
  <c r="I74" i="2"/>
  <c r="CW18" i="2" s="1"/>
  <c r="F117" i="2"/>
  <c r="CT31" i="2" s="1"/>
  <c r="F128" i="2"/>
  <c r="CT32" i="2" s="1"/>
  <c r="I158" i="2"/>
  <c r="CW42" i="2" s="1"/>
  <c r="F129" i="2"/>
  <c r="CT33" i="2" s="1"/>
  <c r="F115" i="2"/>
  <c r="CT29" i="2" s="1"/>
  <c r="I172" i="2"/>
  <c r="CW46" i="2" s="1"/>
  <c r="I145" i="2"/>
  <c r="CW39" i="2" s="1"/>
  <c r="F142" i="2"/>
  <c r="CT36" i="2" s="1"/>
  <c r="I103" i="2"/>
  <c r="CW27" i="2" s="1"/>
  <c r="I72" i="2"/>
  <c r="CW16" i="2" s="1"/>
  <c r="F59" i="2"/>
  <c r="CT13" i="2" s="1"/>
  <c r="I46" i="2"/>
  <c r="CW10" i="2" s="1"/>
  <c r="I156" i="2"/>
  <c r="CW40" i="2" s="1"/>
  <c r="I171" i="2"/>
  <c r="CW45" i="2" s="1"/>
  <c r="F172" i="2"/>
  <c r="CT46" i="2" s="1"/>
  <c r="I159" i="2"/>
  <c r="CW43" i="2" s="1"/>
  <c r="F156" i="2"/>
  <c r="CT40" i="2" s="1"/>
  <c r="I128" i="2"/>
  <c r="CW32" i="2" s="1"/>
  <c r="I102" i="2"/>
  <c r="CW26" i="2" s="1"/>
  <c r="F75" i="2"/>
  <c r="CT19" i="2" s="1"/>
  <c r="F47" i="2"/>
  <c r="CT11" i="2" s="1"/>
  <c r="F173" i="2"/>
  <c r="CT47" i="2" s="1"/>
  <c r="F157" i="2"/>
  <c r="CT41" i="2" s="1"/>
  <c r="I157" i="2"/>
  <c r="CW41" i="2" s="1"/>
  <c r="F102" i="2"/>
  <c r="CT26" i="2" s="1"/>
  <c r="F101" i="2"/>
  <c r="CT25" i="2" s="1"/>
  <c r="F103" i="2"/>
  <c r="CT27" i="2" s="1"/>
  <c r="F73" i="2"/>
  <c r="CT17" i="2" s="1"/>
  <c r="F58" i="2"/>
  <c r="CT12" i="2" s="1"/>
  <c r="F44" i="2"/>
  <c r="CT8" i="2" s="1"/>
  <c r="F159" i="2"/>
  <c r="CT43" i="2" s="1"/>
  <c r="F158" i="2"/>
  <c r="CT42" i="2" s="1"/>
  <c r="F74" i="2"/>
  <c r="CT18" i="2" s="1"/>
  <c r="F61" i="2"/>
  <c r="CT15" i="2" s="1"/>
  <c r="F45" i="2"/>
  <c r="CT9" i="2" s="1"/>
  <c r="I114" i="2"/>
  <c r="CW28" i="2" s="1"/>
  <c r="F116" i="2"/>
  <c r="CT30" i="2" s="1"/>
  <c r="I44" i="2"/>
  <c r="CW8" i="2" s="1"/>
  <c r="I32" i="2"/>
  <c r="CW6" i="2" s="1"/>
  <c r="I31" i="2"/>
  <c r="CW5" i="2" s="1"/>
  <c r="F33" i="2"/>
  <c r="CT7" i="2" s="1"/>
  <c r="F32" i="2"/>
  <c r="CT6" i="2" s="1"/>
  <c r="I33" i="2"/>
  <c r="CW7" i="2" s="1"/>
  <c r="F46" i="2"/>
  <c r="CT10" i="2" s="1"/>
  <c r="E178" i="2" l="1"/>
  <c r="B179" i="2"/>
  <c r="C179" i="2" s="1"/>
  <c r="D177" i="2"/>
  <c r="B181" i="2"/>
  <c r="C178" i="2"/>
  <c r="C180" i="2"/>
  <c r="B176" i="2"/>
  <c r="B83" i="2"/>
  <c r="B80" i="2"/>
  <c r="B79" i="2"/>
  <c r="E79" i="2" s="1"/>
  <c r="B81" i="2"/>
  <c r="B82" i="2"/>
  <c r="D88" i="2"/>
  <c r="B78" i="2"/>
  <c r="CV23" i="2"/>
  <c r="CX16" i="2"/>
  <c r="CZ16" i="2"/>
  <c r="CX4" i="2"/>
  <c r="CZ4" i="2"/>
  <c r="CX39" i="2"/>
  <c r="CZ39" i="2"/>
  <c r="CX44" i="2"/>
  <c r="CZ44" i="2"/>
  <c r="CX45" i="2"/>
  <c r="CZ45" i="2"/>
  <c r="CX5" i="2"/>
  <c r="CZ5" i="2"/>
  <c r="CX24" i="2"/>
  <c r="CZ24" i="2"/>
  <c r="CX37" i="2"/>
  <c r="CZ37" i="2"/>
  <c r="CX14" i="2"/>
  <c r="CZ14" i="2"/>
  <c r="CX38" i="2"/>
  <c r="CZ38" i="2"/>
  <c r="CX35" i="2"/>
  <c r="CZ35" i="2"/>
  <c r="CX28" i="2"/>
  <c r="CZ28" i="2"/>
  <c r="CX34" i="2"/>
  <c r="CZ34" i="2"/>
  <c r="CX31" i="2"/>
  <c r="CZ31" i="2"/>
  <c r="CX32" i="2"/>
  <c r="CZ32" i="2"/>
  <c r="CX33" i="2"/>
  <c r="CZ33" i="2"/>
  <c r="CX29" i="2"/>
  <c r="CZ29" i="2"/>
  <c r="CX36" i="2"/>
  <c r="CZ36" i="2"/>
  <c r="CX13" i="2"/>
  <c r="CZ13" i="2"/>
  <c r="CX46" i="2"/>
  <c r="CZ46" i="2"/>
  <c r="CX40" i="2"/>
  <c r="CZ40" i="2"/>
  <c r="CX19" i="2"/>
  <c r="CZ19" i="2"/>
  <c r="CX11" i="2"/>
  <c r="CZ11" i="2"/>
  <c r="CX47" i="2"/>
  <c r="CZ47" i="2"/>
  <c r="CX41" i="2"/>
  <c r="CZ41" i="2"/>
  <c r="CX26" i="2"/>
  <c r="CZ26" i="2"/>
  <c r="CX25" i="2"/>
  <c r="CZ25" i="2"/>
  <c r="CX27" i="2"/>
  <c r="CZ27" i="2"/>
  <c r="CX17" i="2"/>
  <c r="CZ17" i="2"/>
  <c r="CX12" i="2"/>
  <c r="CZ12" i="2"/>
  <c r="CX8" i="2"/>
  <c r="CZ8" i="2"/>
  <c r="CX43" i="2"/>
  <c r="CZ43" i="2"/>
  <c r="CX42" i="2"/>
  <c r="CZ42" i="2"/>
  <c r="CX18" i="2"/>
  <c r="CZ18" i="2"/>
  <c r="CX15" i="2"/>
  <c r="CZ15" i="2"/>
  <c r="CX9" i="2"/>
  <c r="CZ9" i="2"/>
  <c r="CX30" i="2"/>
  <c r="CZ30" i="2"/>
  <c r="CX7" i="2"/>
  <c r="CZ7" i="2"/>
  <c r="CX6" i="2"/>
  <c r="CZ6" i="2"/>
  <c r="CX10" i="2"/>
  <c r="CZ10" i="2"/>
  <c r="J170" i="2"/>
  <c r="J72" i="2"/>
  <c r="J73" i="2"/>
  <c r="J75" i="2"/>
  <c r="J30" i="2"/>
  <c r="J116" i="2"/>
  <c r="J145" i="2"/>
  <c r="J101" i="2"/>
  <c r="J100" i="2"/>
  <c r="J144" i="2"/>
  <c r="J45" i="2"/>
  <c r="J61" i="2"/>
  <c r="J131" i="2"/>
  <c r="J58" i="2"/>
  <c r="J142" i="2"/>
  <c r="J171" i="2"/>
  <c r="J32" i="2"/>
  <c r="J173" i="2"/>
  <c r="J31" i="2"/>
  <c r="J143" i="2"/>
  <c r="J59" i="2"/>
  <c r="J47" i="2"/>
  <c r="J60" i="2"/>
  <c r="J130" i="2"/>
  <c r="J117" i="2"/>
  <c r="J129" i="2"/>
  <c r="J115" i="2"/>
  <c r="J114" i="2"/>
  <c r="J102" i="2"/>
  <c r="J103" i="2"/>
  <c r="J159" i="2"/>
  <c r="J158" i="2"/>
  <c r="J74" i="2"/>
  <c r="J156" i="2"/>
  <c r="J128" i="2"/>
  <c r="J172" i="2"/>
  <c r="J46" i="2"/>
  <c r="J33" i="2"/>
  <c r="J157" i="2"/>
  <c r="J44" i="2"/>
  <c r="E185" i="2" l="1"/>
  <c r="CU49" i="2"/>
  <c r="C181" i="2"/>
  <c r="E181" i="2"/>
  <c r="D181" i="2"/>
  <c r="D184" i="2"/>
  <c r="D179" i="2"/>
  <c r="E179" i="2"/>
  <c r="B186" i="2"/>
  <c r="B185" i="2"/>
  <c r="C186" i="2"/>
  <c r="CV50" i="2"/>
  <c r="E187" i="2"/>
  <c r="C184" i="2"/>
  <c r="CU51" i="2"/>
  <c r="CV49" i="2"/>
  <c r="D187" i="2"/>
  <c r="E186" i="2"/>
  <c r="B187" i="2"/>
  <c r="D185" i="2"/>
  <c r="CV51" i="2"/>
  <c r="C185" i="2"/>
  <c r="CV48" i="2"/>
  <c r="C187" i="2"/>
  <c r="E184" i="2"/>
  <c r="D186" i="2"/>
  <c r="B184" i="2"/>
  <c r="E176" i="2"/>
  <c r="D176" i="2"/>
  <c r="C176" i="2"/>
  <c r="C87" i="2"/>
  <c r="D81" i="2"/>
  <c r="E81" i="2"/>
  <c r="C86" i="2"/>
  <c r="CV22" i="2"/>
  <c r="CU23" i="2"/>
  <c r="C88" i="2"/>
  <c r="E87" i="2"/>
  <c r="B86" i="2"/>
  <c r="CV20" i="2"/>
  <c r="C79" i="2"/>
  <c r="D79" i="2"/>
  <c r="D87" i="2"/>
  <c r="D86" i="2"/>
  <c r="CV21" i="2"/>
  <c r="B88" i="2"/>
  <c r="C89" i="2"/>
  <c r="CU21" i="2"/>
  <c r="D89" i="2"/>
  <c r="E83" i="2"/>
  <c r="C83" i="2"/>
  <c r="D83" i="2"/>
  <c r="E80" i="2"/>
  <c r="D80" i="2"/>
  <c r="CU22" i="2"/>
  <c r="E86" i="2"/>
  <c r="C80" i="2"/>
  <c r="C81" i="2"/>
  <c r="B89" i="2"/>
  <c r="E89" i="2"/>
  <c r="C78" i="2"/>
  <c r="E78" i="2"/>
  <c r="D78" i="2"/>
  <c r="E88" i="2"/>
  <c r="B87" i="2"/>
  <c r="C82" i="2"/>
  <c r="E82" i="2"/>
  <c r="D82" i="2"/>
  <c r="K74" i="2"/>
  <c r="K60" i="2"/>
  <c r="K142" i="2"/>
  <c r="K145" i="2"/>
  <c r="K100" i="2"/>
  <c r="K117" i="2"/>
  <c r="K61" i="2"/>
  <c r="K116" i="2"/>
  <c r="K144" i="2"/>
  <c r="K143" i="2"/>
  <c r="K103" i="2"/>
  <c r="K59" i="2"/>
  <c r="K58" i="2"/>
  <c r="K115" i="2"/>
  <c r="K114" i="2"/>
  <c r="K129" i="2"/>
  <c r="K130" i="2"/>
  <c r="K131" i="2"/>
  <c r="K128" i="2"/>
  <c r="K75" i="2"/>
  <c r="K72" i="2"/>
  <c r="K73" i="2"/>
  <c r="K170" i="2"/>
  <c r="K171" i="2"/>
  <c r="K102" i="2"/>
  <c r="K101" i="2"/>
  <c r="K173" i="2"/>
  <c r="K172" i="2"/>
  <c r="K32" i="2"/>
  <c r="K33" i="2"/>
  <c r="K156" i="2"/>
  <c r="K158" i="2"/>
  <c r="K159" i="2"/>
  <c r="K157" i="2"/>
  <c r="K47" i="2"/>
  <c r="K46" i="2"/>
  <c r="K45" i="2"/>
  <c r="K44" i="2"/>
  <c r="K30" i="2"/>
  <c r="K31" i="2"/>
  <c r="N18" i="1" l="1"/>
  <c r="F186" i="2"/>
  <c r="CT50" i="2" s="1"/>
  <c r="F185" i="2"/>
  <c r="CT49" i="2" s="1"/>
  <c r="CX49" i="2" s="1"/>
  <c r="I187" i="2"/>
  <c r="CW51" i="2" s="1"/>
  <c r="F187" i="2"/>
  <c r="CT51" i="2" s="1"/>
  <c r="F184" i="2"/>
  <c r="CT48" i="2" s="1"/>
  <c r="I185" i="2"/>
  <c r="CW49" i="2" s="1"/>
  <c r="CU50" i="2"/>
  <c r="I186" i="2"/>
  <c r="CW50" i="2" s="1"/>
  <c r="CU48" i="2"/>
  <c r="I184" i="2"/>
  <c r="CW48" i="2" s="1"/>
  <c r="F87" i="2"/>
  <c r="CT21" i="2" s="1"/>
  <c r="CX21" i="2" s="1"/>
  <c r="I87" i="2"/>
  <c r="CW21" i="2" s="1"/>
  <c r="F89" i="2"/>
  <c r="CT23" i="2" s="1"/>
  <c r="CX23" i="2" s="1"/>
  <c r="F88" i="2"/>
  <c r="CT22" i="2" s="1"/>
  <c r="F86" i="2"/>
  <c r="CT20" i="2" s="1"/>
  <c r="I89" i="2"/>
  <c r="CW23" i="2" s="1"/>
  <c r="I88" i="2"/>
  <c r="CW22" i="2" s="1"/>
  <c r="CU20" i="2"/>
  <c r="I86" i="2"/>
  <c r="Q15" i="2"/>
  <c r="N101" i="1"/>
  <c r="M101" i="1"/>
  <c r="N99" i="1"/>
  <c r="P15" i="2"/>
  <c r="L100" i="1"/>
  <c r="AP37" i="2"/>
  <c r="AP36" i="2"/>
  <c r="AS15" i="2" s="1"/>
  <c r="D123" i="1" s="1"/>
  <c r="AP35" i="2"/>
  <c r="AS19" i="2" s="1"/>
  <c r="D127" i="1" s="1"/>
  <c r="R15" i="2"/>
  <c r="O15" i="2"/>
  <c r="N100" i="1"/>
  <c r="M99" i="1"/>
  <c r="L101" i="1"/>
  <c r="M100" i="1"/>
  <c r="L99" i="1"/>
  <c r="N98" i="1"/>
  <c r="M98" i="1"/>
  <c r="L98" i="1"/>
  <c r="AP32" i="2"/>
  <c r="AS18" i="2" s="1"/>
  <c r="D126" i="1" s="1"/>
  <c r="Q14" i="2"/>
  <c r="AP33" i="2"/>
  <c r="AT16" i="2" s="1"/>
  <c r="F124" i="1" s="1"/>
  <c r="R14" i="2"/>
  <c r="O14" i="2"/>
  <c r="L90" i="1"/>
  <c r="AP34" i="2"/>
  <c r="P14" i="2"/>
  <c r="N93" i="1"/>
  <c r="M93" i="1"/>
  <c r="L93" i="1"/>
  <c r="N92" i="1"/>
  <c r="M92" i="1"/>
  <c r="L92" i="1"/>
  <c r="N91" i="1"/>
  <c r="M91" i="1"/>
  <c r="L91" i="1"/>
  <c r="N90" i="1"/>
  <c r="M90" i="1"/>
  <c r="N83" i="1"/>
  <c r="M83" i="1"/>
  <c r="L83" i="1"/>
  <c r="AP31" i="2"/>
  <c r="AP30" i="2"/>
  <c r="AT10" i="2" s="1"/>
  <c r="F118" i="1" s="1"/>
  <c r="AP29" i="2"/>
  <c r="AS9" i="2" s="1"/>
  <c r="D117" i="1" s="1"/>
  <c r="R13" i="2"/>
  <c r="Q13" i="2"/>
  <c r="P13" i="2"/>
  <c r="O13" i="2"/>
  <c r="N85" i="1"/>
  <c r="M85" i="1"/>
  <c r="L85" i="1"/>
  <c r="N84" i="1"/>
  <c r="M84" i="1"/>
  <c r="L84" i="1"/>
  <c r="N82" i="1"/>
  <c r="M82" i="1"/>
  <c r="L82" i="1"/>
  <c r="AP27" i="2"/>
  <c r="AT18" i="2" s="1"/>
  <c r="F126" i="1" s="1"/>
  <c r="AP28" i="2"/>
  <c r="AP26" i="2"/>
  <c r="AS16" i="2" s="1"/>
  <c r="D124" i="1" s="1"/>
  <c r="R12" i="2"/>
  <c r="Q12" i="2"/>
  <c r="P12" i="2"/>
  <c r="O12" i="2"/>
  <c r="N77" i="1"/>
  <c r="M77" i="1"/>
  <c r="L77" i="1"/>
  <c r="N76" i="1"/>
  <c r="M76" i="1"/>
  <c r="L76" i="1"/>
  <c r="N75" i="1"/>
  <c r="M75" i="1"/>
  <c r="L75" i="1"/>
  <c r="N74" i="1"/>
  <c r="M74" i="1"/>
  <c r="L74" i="1"/>
  <c r="AP25" i="2"/>
  <c r="AP23" i="2"/>
  <c r="AS14" i="2" s="1"/>
  <c r="D122" i="1" s="1"/>
  <c r="N67" i="1"/>
  <c r="AP24" i="2"/>
  <c r="AT20" i="2" s="1"/>
  <c r="F128" i="1" s="1"/>
  <c r="N69" i="1"/>
  <c r="M67" i="1"/>
  <c r="N66" i="1"/>
  <c r="L66" i="1"/>
  <c r="R11" i="2"/>
  <c r="Q11" i="2"/>
  <c r="P11" i="2"/>
  <c r="O11" i="2"/>
  <c r="M69" i="1"/>
  <c r="L69" i="1"/>
  <c r="N68" i="1"/>
  <c r="M68" i="1"/>
  <c r="L67" i="1"/>
  <c r="L68" i="1"/>
  <c r="M66" i="1"/>
  <c r="AP21" i="2"/>
  <c r="AT8" i="2" s="1"/>
  <c r="F116" i="1" s="1"/>
  <c r="AP22" i="2"/>
  <c r="AP20" i="2"/>
  <c r="AS7" i="2" s="1"/>
  <c r="D115" i="1" s="1"/>
  <c r="R10" i="2"/>
  <c r="Q10" i="2"/>
  <c r="P10" i="2"/>
  <c r="O10" i="2"/>
  <c r="N61" i="1"/>
  <c r="M61" i="1"/>
  <c r="L61" i="1"/>
  <c r="N60" i="1"/>
  <c r="M60" i="1"/>
  <c r="L60" i="1"/>
  <c r="N59" i="1"/>
  <c r="M59" i="1"/>
  <c r="L59" i="1"/>
  <c r="N58" i="1"/>
  <c r="M58" i="1"/>
  <c r="L58" i="1"/>
  <c r="R8" i="2"/>
  <c r="N44" i="1"/>
  <c r="O8" i="2"/>
  <c r="M45" i="1"/>
  <c r="AP16" i="2"/>
  <c r="Q8" i="2"/>
  <c r="P8" i="2"/>
  <c r="L45" i="1"/>
  <c r="N43" i="1"/>
  <c r="AP15" i="2"/>
  <c r="AS20" i="2" s="1"/>
  <c r="D128" i="1" s="1"/>
  <c r="AP14" i="2"/>
  <c r="AS13" i="2" s="1"/>
  <c r="D121" i="1" s="1"/>
  <c r="N45" i="1"/>
  <c r="L44" i="1"/>
  <c r="M44" i="1"/>
  <c r="M43" i="1"/>
  <c r="L43" i="1"/>
  <c r="N42" i="1"/>
  <c r="M42" i="1"/>
  <c r="L42" i="1"/>
  <c r="R7" i="2"/>
  <c r="O7" i="2"/>
  <c r="Q7" i="2"/>
  <c r="AP13" i="2"/>
  <c r="AP12" i="2"/>
  <c r="AT7" i="2" s="1"/>
  <c r="F115" i="1" s="1"/>
  <c r="AP11" i="2"/>
  <c r="AS8" i="2" s="1"/>
  <c r="D116" i="1" s="1"/>
  <c r="P7" i="2"/>
  <c r="N37" i="1"/>
  <c r="M37" i="1"/>
  <c r="L37" i="1"/>
  <c r="N36" i="1"/>
  <c r="M36" i="1"/>
  <c r="L36" i="1"/>
  <c r="N35" i="1"/>
  <c r="M35" i="1"/>
  <c r="L35" i="1"/>
  <c r="N34" i="1"/>
  <c r="M34" i="1"/>
  <c r="L34" i="1"/>
  <c r="R6" i="2"/>
  <c r="O6" i="2"/>
  <c r="AP8" i="2"/>
  <c r="AS17" i="2" s="1"/>
  <c r="D125" i="1" s="1"/>
  <c r="Q6" i="2"/>
  <c r="AP10" i="2"/>
  <c r="AP9" i="2"/>
  <c r="AT5" i="2" s="1"/>
  <c r="F113" i="1" s="1"/>
  <c r="P6" i="2"/>
  <c r="N29" i="1"/>
  <c r="M29" i="1"/>
  <c r="L29" i="1"/>
  <c r="N28" i="1"/>
  <c r="M28" i="1"/>
  <c r="L28" i="1"/>
  <c r="N27" i="1"/>
  <c r="M27" i="1"/>
  <c r="L27" i="1"/>
  <c r="N26" i="1"/>
  <c r="M26" i="1"/>
  <c r="L26" i="1"/>
  <c r="AP7" i="2"/>
  <c r="AP5" i="2"/>
  <c r="AS11" i="2" s="1"/>
  <c r="D119" i="1" s="1"/>
  <c r="M20" i="1"/>
  <c r="L20" i="1"/>
  <c r="M19" i="1"/>
  <c r="AP6" i="2"/>
  <c r="AS5" i="2" s="1"/>
  <c r="D113" i="1" s="1"/>
  <c r="Q5" i="2"/>
  <c r="N19" i="1"/>
  <c r="L19" i="1"/>
  <c r="R5" i="2"/>
  <c r="P5" i="2"/>
  <c r="O5" i="2"/>
  <c r="N20" i="1"/>
  <c r="N21" i="1"/>
  <c r="M21" i="1"/>
  <c r="L21" i="1"/>
  <c r="M18" i="1"/>
  <c r="L18" i="1"/>
  <c r="J187" i="2" l="1"/>
  <c r="CZ51" i="2"/>
  <c r="CX48" i="2"/>
  <c r="CX50" i="2"/>
  <c r="J185" i="2"/>
  <c r="J184" i="2"/>
  <c r="CX51" i="2"/>
  <c r="CZ49" i="2"/>
  <c r="J186" i="2"/>
  <c r="CZ50" i="2"/>
  <c r="CZ48" i="2"/>
  <c r="CZ21" i="2"/>
  <c r="J87" i="2"/>
  <c r="CZ23" i="2"/>
  <c r="J88" i="2"/>
  <c r="J89" i="2"/>
  <c r="CZ22" i="2"/>
  <c r="CX20" i="2"/>
  <c r="CX22" i="2"/>
  <c r="CW20" i="2"/>
  <c r="CZ20" i="2" s="1"/>
  <c r="J86" i="2"/>
  <c r="S12" i="2"/>
  <c r="S13" i="2"/>
  <c r="S14" i="2"/>
  <c r="S7" i="2"/>
  <c r="FM2" i="3"/>
  <c r="BR20" i="2"/>
  <c r="FU2" i="3"/>
  <c r="BV20" i="2"/>
  <c r="S15" i="2"/>
  <c r="FS2" i="3"/>
  <c r="BU20" i="2"/>
  <c r="FP2" i="3"/>
  <c r="BS21" i="2"/>
  <c r="FD2" i="3"/>
  <c r="BM21" i="2"/>
  <c r="FA2" i="3"/>
  <c r="BL20" i="2"/>
  <c r="FT2" i="3"/>
  <c r="BU21" i="2"/>
  <c r="FO2" i="3"/>
  <c r="BS20" i="2"/>
  <c r="S10" i="2"/>
  <c r="S11" i="2"/>
  <c r="FK2" i="3"/>
  <c r="BQ20" i="2"/>
  <c r="FX2" i="3"/>
  <c r="BW21" i="2"/>
  <c r="S8" i="2"/>
  <c r="EZ2" i="3"/>
  <c r="BK21" i="2"/>
  <c r="EW2" i="3"/>
  <c r="BJ20" i="2"/>
  <c r="FW2" i="3"/>
  <c r="BW20" i="2"/>
  <c r="FI2" i="3"/>
  <c r="BP20" i="2"/>
  <c r="S5" i="2"/>
  <c r="EX2" i="3"/>
  <c r="BJ21" i="2"/>
  <c r="BK20" i="2"/>
  <c r="EY2" i="3"/>
  <c r="S6" i="2"/>
  <c r="FQ2" i="3"/>
  <c r="BT20" i="2"/>
  <c r="BH21" i="2"/>
  <c r="ET2" i="3"/>
  <c r="BN20" i="2"/>
  <c r="FE2" i="3"/>
  <c r="ES2" i="3"/>
  <c r="BH20" i="2"/>
  <c r="K186" i="2" l="1"/>
  <c r="K184" i="2"/>
  <c r="K187" i="2"/>
  <c r="K185" i="2"/>
  <c r="CY43" i="2"/>
  <c r="K86" i="2"/>
  <c r="CY34" i="2"/>
  <c r="CY47" i="2"/>
  <c r="CY44" i="2"/>
  <c r="CY28" i="2"/>
  <c r="CY24" i="2"/>
  <c r="CY5" i="2"/>
  <c r="CY6" i="2"/>
  <c r="DA22" i="2"/>
  <c r="CY42" i="2"/>
  <c r="CY22" i="2"/>
  <c r="CY8" i="2"/>
  <c r="CY14" i="2"/>
  <c r="CY45" i="2"/>
  <c r="CY36" i="2"/>
  <c r="CY29" i="2"/>
  <c r="CY20" i="2"/>
  <c r="CY49" i="2"/>
  <c r="CY17" i="2"/>
  <c r="DA23" i="2"/>
  <c r="DA21" i="2"/>
  <c r="CY51" i="2"/>
  <c r="CY27" i="2"/>
  <c r="CY46" i="2"/>
  <c r="CY15" i="2"/>
  <c r="CY16" i="2"/>
  <c r="CY30" i="2"/>
  <c r="CY10" i="2"/>
  <c r="CY37" i="2"/>
  <c r="CY7" i="2"/>
  <c r="CY35" i="2"/>
  <c r="CY25" i="2"/>
  <c r="CY18" i="2"/>
  <c r="CY39" i="2"/>
  <c r="CY4" i="2"/>
  <c r="CY41" i="2"/>
  <c r="CY12" i="2"/>
  <c r="CY11" i="2"/>
  <c r="CY19" i="2"/>
  <c r="K89" i="2"/>
  <c r="CY40" i="2"/>
  <c r="CY23" i="2"/>
  <c r="CY31" i="2"/>
  <c r="CY13" i="2"/>
  <c r="CY48" i="2"/>
  <c r="CY50" i="2"/>
  <c r="CY9" i="2"/>
  <c r="CY32" i="2"/>
  <c r="CY38" i="2"/>
  <c r="CY33" i="2"/>
  <c r="CY21" i="2"/>
  <c r="CY26" i="2"/>
  <c r="K88" i="2"/>
  <c r="K87" i="2"/>
  <c r="DA5" i="2"/>
  <c r="DA39" i="2"/>
  <c r="DA14" i="2"/>
  <c r="DA28" i="2"/>
  <c r="DA8" i="2"/>
  <c r="DA26" i="2"/>
  <c r="DA9" i="2"/>
  <c r="DA10" i="2"/>
  <c r="DA27" i="2"/>
  <c r="DA50" i="2"/>
  <c r="DA36" i="2"/>
  <c r="DA37" i="2"/>
  <c r="DA20" i="2"/>
  <c r="DA51" i="2"/>
  <c r="DA12" i="2"/>
  <c r="DA24" i="2"/>
  <c r="DA48" i="2"/>
  <c r="DA34" i="2"/>
  <c r="DA49" i="2"/>
  <c r="DA30" i="2"/>
  <c r="DA4" i="2"/>
  <c r="DA43" i="2"/>
  <c r="DA35" i="2"/>
  <c r="DA46" i="2"/>
  <c r="DA29" i="2"/>
  <c r="DA44" i="2"/>
  <c r="DA33" i="2"/>
  <c r="DA13" i="2"/>
  <c r="DA11" i="2"/>
  <c r="DA16" i="2"/>
  <c r="DA47" i="2"/>
  <c r="DA45" i="2"/>
  <c r="DA38" i="2"/>
  <c r="DA31" i="2"/>
  <c r="DA41" i="2"/>
  <c r="DA25" i="2"/>
  <c r="DA18" i="2"/>
  <c r="DA7" i="2"/>
  <c r="DA32" i="2"/>
  <c r="DA17" i="2"/>
  <c r="DA19" i="2"/>
  <c r="DA15" i="2"/>
  <c r="DA6" i="2"/>
  <c r="DA40" i="2"/>
  <c r="DA42" i="2"/>
  <c r="O16" i="2" l="1"/>
  <c r="P16" i="2"/>
  <c r="Q16" i="2"/>
  <c r="P9" i="2"/>
  <c r="L109" i="1"/>
  <c r="M107" i="1"/>
  <c r="M109" i="1"/>
  <c r="L107" i="1"/>
  <c r="L108" i="1"/>
  <c r="N108" i="1"/>
  <c r="N106" i="1"/>
  <c r="AP38" i="2"/>
  <c r="AS12" i="2" s="1"/>
  <c r="AP40" i="2"/>
  <c r="L106" i="1"/>
  <c r="N107" i="1"/>
  <c r="M106" i="1"/>
  <c r="R16" i="2"/>
  <c r="M108" i="1"/>
  <c r="AP39" i="2"/>
  <c r="AT15" i="2" s="1"/>
  <c r="N109" i="1"/>
  <c r="M52" i="1"/>
  <c r="L52" i="1"/>
  <c r="Q9" i="2"/>
  <c r="O9" i="2"/>
  <c r="N52" i="1"/>
  <c r="R9" i="2"/>
  <c r="AP19" i="2"/>
  <c r="N50" i="1"/>
  <c r="DC6" i="2"/>
  <c r="DD6" i="2" s="1"/>
  <c r="M51" i="1"/>
  <c r="N51" i="1"/>
  <c r="M53" i="1"/>
  <c r="AP17" i="2"/>
  <c r="AS6" i="2" s="1"/>
  <c r="DC10" i="2"/>
  <c r="DD10" i="2" s="1"/>
  <c r="DC9" i="2"/>
  <c r="DD9" i="2" s="1"/>
  <c r="AP18" i="2"/>
  <c r="AS10" i="2" s="1"/>
  <c r="DC8" i="2"/>
  <c r="DD8" i="2" s="1"/>
  <c r="L51" i="1"/>
  <c r="DC7" i="2"/>
  <c r="DD7" i="2" s="1"/>
  <c r="M50" i="1"/>
  <c r="N53" i="1"/>
  <c r="L50" i="1"/>
  <c r="DC5" i="2"/>
  <c r="DD5" i="2" s="1"/>
  <c r="L53" i="1"/>
  <c r="DF10" i="2"/>
  <c r="DG10" i="2" s="1"/>
  <c r="DF7" i="2"/>
  <c r="DG7" i="2" s="1"/>
  <c r="DF8" i="2"/>
  <c r="DG8" i="2" s="1"/>
  <c r="DF9" i="2"/>
  <c r="DG9" i="2" s="1"/>
  <c r="DF5" i="2"/>
  <c r="DG5" i="2" s="1"/>
  <c r="DF6" i="2"/>
  <c r="DG6" i="2" s="1"/>
  <c r="F123" i="1" l="1"/>
  <c r="FN2" i="3" s="1"/>
  <c r="BO20" i="2"/>
  <c r="D120" i="1"/>
  <c r="FG2" i="3" s="1"/>
  <c r="D118" i="1"/>
  <c r="FC2" i="3" s="1"/>
  <c r="BI20" i="2"/>
  <c r="D114" i="1"/>
  <c r="EU2" i="3" s="1"/>
  <c r="S16" i="2"/>
  <c r="BR21" i="2"/>
  <c r="S9" i="2"/>
  <c r="BM20" i="2"/>
  <c r="T12" i="2" l="1"/>
  <c r="T7" i="2"/>
  <c r="T16" i="2"/>
  <c r="T10" i="2"/>
  <c r="T8" i="2"/>
  <c r="T13" i="2"/>
  <c r="T15" i="2"/>
  <c r="T11" i="2"/>
  <c r="T5" i="2"/>
  <c r="T14" i="2"/>
  <c r="T9" i="2"/>
  <c r="T6" i="2"/>
  <c r="W9" i="2" l="1"/>
  <c r="M117" i="1" s="1"/>
  <c r="W8" i="2"/>
  <c r="N116" i="1" s="1"/>
  <c r="W12" i="2"/>
  <c r="L120" i="1" s="1"/>
  <c r="W5" i="2"/>
  <c r="L113" i="1" s="1"/>
  <c r="Y6" i="2"/>
  <c r="Y12" i="2"/>
  <c r="X7" i="2"/>
  <c r="X6" i="2"/>
  <c r="Y8" i="2"/>
  <c r="X11" i="2"/>
  <c r="Y10" i="2"/>
  <c r="X8" i="2"/>
  <c r="X5" i="2"/>
  <c r="X12" i="2"/>
  <c r="X10" i="2"/>
  <c r="Y9" i="2"/>
  <c r="Y11" i="2"/>
  <c r="Y7" i="2"/>
  <c r="W10" i="2"/>
  <c r="L118" i="1" s="1"/>
  <c r="W7" i="2"/>
  <c r="L115" i="1" s="1"/>
  <c r="X9" i="2"/>
  <c r="W6" i="2"/>
  <c r="L114" i="1" s="1"/>
  <c r="Y5" i="2"/>
  <c r="W11" i="2"/>
  <c r="N119" i="1" s="1"/>
  <c r="K117" i="1" l="1"/>
  <c r="L117" i="1"/>
  <c r="N117" i="1"/>
  <c r="M120" i="1"/>
  <c r="M116" i="1"/>
  <c r="L116" i="1"/>
  <c r="K115" i="1"/>
  <c r="M115" i="1"/>
  <c r="M114" i="1"/>
  <c r="N120" i="1"/>
  <c r="N115" i="1"/>
  <c r="N113" i="1"/>
  <c r="K113" i="1"/>
  <c r="K116" i="1"/>
  <c r="K120" i="1"/>
  <c r="M113" i="1"/>
  <c r="M119" i="1"/>
  <c r="K119" i="1"/>
  <c r="N114" i="1"/>
  <c r="N118" i="1"/>
  <c r="L119" i="1"/>
  <c r="K114" i="1"/>
  <c r="M118" i="1"/>
  <c r="K118" i="1"/>
  <c r="V15" i="2"/>
  <c r="X15" i="2" s="1"/>
  <c r="D2" i="3" l="1"/>
  <c r="AF15" i="2"/>
  <c r="AD15" i="2"/>
  <c r="AE15" i="2"/>
  <c r="Y15" i="2"/>
  <c r="AB15" i="2"/>
  <c r="Z15" i="2"/>
  <c r="AA15" i="2"/>
  <c r="AC15" i="2"/>
  <c r="AV14" i="2" l="1"/>
  <c r="AK15" i="2"/>
  <c r="AT14" i="2" s="1"/>
  <c r="F122" i="1" s="1"/>
  <c r="AI15" i="2"/>
  <c r="AT13" i="2" s="1"/>
  <c r="F121" i="1" s="1"/>
  <c r="AV13" i="2"/>
  <c r="AV6" i="2"/>
  <c r="AJ15" i="2"/>
  <c r="AT6" i="2" s="1"/>
  <c r="F114" i="1" s="1"/>
  <c r="AH15" i="2"/>
  <c r="AT17" i="2" s="1"/>
  <c r="F125" i="1" s="1"/>
  <c r="AV17" i="2"/>
  <c r="AG15" i="2"/>
  <c r="AT11" i="2" s="1"/>
  <c r="F119" i="1" s="1"/>
  <c r="AV11" i="2"/>
  <c r="AM15" i="2"/>
  <c r="AT19" i="2" s="1"/>
  <c r="F127" i="1" s="1"/>
  <c r="AV19" i="2"/>
  <c r="AV9" i="2"/>
  <c r="AL15" i="2"/>
  <c r="AT9" i="2" s="1"/>
  <c r="F117" i="1" s="1"/>
  <c r="AV12" i="2"/>
  <c r="AN15" i="2"/>
  <c r="AT12" i="2" s="1"/>
  <c r="F120" i="1" s="1"/>
  <c r="FH2" i="3" l="1"/>
  <c r="BO21" i="2"/>
  <c r="BT21" i="2"/>
  <c r="FR2" i="3"/>
  <c r="EV2" i="3"/>
  <c r="BI21" i="2"/>
  <c r="FB2" i="3"/>
  <c r="BL21" i="2"/>
  <c r="FV2" i="3"/>
  <c r="BV21" i="2"/>
  <c r="BP21" i="2"/>
  <c r="FJ2" i="3"/>
  <c r="FL2" i="3"/>
  <c r="BQ21" i="2"/>
  <c r="BN21" i="2"/>
  <c r="FF2" i="3"/>
  <c r="HH2" i="3"/>
  <c r="HG2" i="3"/>
  <c r="HF2" i="3"/>
  <c r="HE2" i="3"/>
  <c r="HD2" i="3"/>
  <c r="HC2" i="3"/>
  <c r="HB2" i="3"/>
  <c r="HA2" i="3"/>
  <c r="GZ2" i="3"/>
  <c r="GY2" i="3"/>
  <c r="GX2" i="3"/>
  <c r="GW2" i="3"/>
  <c r="GV2" i="3"/>
  <c r="GU2" i="3"/>
  <c r="GT2" i="3"/>
  <c r="GS2" i="3"/>
  <c r="GR2" i="3"/>
  <c r="GQ2" i="3"/>
  <c r="GP2" i="3"/>
  <c r="GO2" i="3"/>
  <c r="GN2" i="3"/>
  <c r="GM2" i="3"/>
  <c r="GL2" i="3"/>
  <c r="GK2" i="3"/>
  <c r="GJ2" i="3"/>
  <c r="GI2" i="3"/>
  <c r="GH2" i="3"/>
  <c r="GG2" i="3"/>
  <c r="GF2" i="3"/>
  <c r="GE2" i="3"/>
  <c r="GD2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Alvarez</author>
  </authors>
  <commentList>
    <comment ref="F158" authorId="0" shapeId="0" xr:uid="{220682C7-FF6E-45D2-8889-54C33626B72F}">
      <text>
        <r>
          <rPr>
            <sz val="11"/>
            <color theme="1"/>
            <rFont val="Calibri"/>
            <family val="2"/>
            <scheme val="minor"/>
          </rPr>
          <t>Se toman en cuenta todos los partidos del torneo. Los goles de tanda de penales no cuentan. En caso de empate, ambas respuestas serán correctas.</t>
        </r>
      </text>
    </comment>
    <comment ref="F159" authorId="0" shapeId="0" xr:uid="{E1768D63-47C7-45F8-9671-A33BE300FE6A}">
      <text>
        <r>
          <rPr>
            <sz val="11"/>
            <color theme="1"/>
            <rFont val="Calibri"/>
            <family val="2"/>
            <scheme val="minor"/>
          </rPr>
          <t>Si hay empate, ambas respuestas serán correctas.</t>
        </r>
      </text>
    </comment>
    <comment ref="F160" authorId="0" shapeId="0" xr:uid="{7CD0921E-CDCE-4B51-8E58-8A4312E89194}">
      <text>
        <r>
          <rPr>
            <sz val="11"/>
            <color theme="1"/>
            <rFont val="Calibri"/>
            <family val="2"/>
            <scheme val="minor"/>
          </rPr>
          <t>En caso de empate, será el equipo con menos goles anotados. Si persiste el empate, ambas respuestas serán correctas.</t>
        </r>
      </text>
    </comment>
  </commentList>
</comments>
</file>

<file path=xl/sharedStrings.xml><?xml version="1.0" encoding="utf-8"?>
<sst xmlns="http://schemas.openxmlformats.org/spreadsheetml/2006/main" count="5654" uniqueCount="1033">
  <si>
    <t>Nombre</t>
  </si>
  <si>
    <t>Correo</t>
  </si>
  <si>
    <t>Comprobación</t>
  </si>
  <si>
    <t>GRUPO A</t>
  </si>
  <si>
    <t>POSICIONES · GRUPO A</t>
  </si>
  <si>
    <t>No.</t>
  </si>
  <si>
    <t>Equipo 1</t>
  </si>
  <si>
    <t>G1</t>
  </si>
  <si>
    <t>vs</t>
  </si>
  <si>
    <t>Equipo 2</t>
  </si>
  <si>
    <t>G2</t>
  </si>
  <si>
    <t>Sede / hora (ET)</t>
  </si>
  <si>
    <t>Lugar</t>
  </si>
  <si>
    <t>Equipo</t>
  </si>
  <si>
    <t>J</t>
  </si>
  <si>
    <t>G</t>
  </si>
  <si>
    <t>P</t>
  </si>
  <si>
    <t>E</t>
  </si>
  <si>
    <t>Pts</t>
  </si>
  <si>
    <t>Dif</t>
  </si>
  <si>
    <t>Rank</t>
  </si>
  <si>
    <t>Grupo</t>
  </si>
  <si>
    <t>GRUPO B</t>
  </si>
  <si>
    <t>POSICIONES · GRUPO B</t>
  </si>
  <si>
    <t>GRUPO C</t>
  </si>
  <si>
    <t>POSICIONES · GRUPO C</t>
  </si>
  <si>
    <t>GRUPO D</t>
  </si>
  <si>
    <t>POSICIONES · GRUPO D</t>
  </si>
  <si>
    <t>GRUPO E</t>
  </si>
  <si>
    <t>POSICIONES · GRUPO E</t>
  </si>
  <si>
    <t>GRUPO F</t>
  </si>
  <si>
    <t>POSICIONES · GRUPO F</t>
  </si>
  <si>
    <t>GRUPO G</t>
  </si>
  <si>
    <t>POSICIONES · GRUPO G</t>
  </si>
  <si>
    <t>GRUPO H</t>
  </si>
  <si>
    <t>POSICIONES · GRUPO H</t>
  </si>
  <si>
    <t>GRUPO I</t>
  </si>
  <si>
    <t>POSICIONES · GRUPO I</t>
  </si>
  <si>
    <t>GRUPO J</t>
  </si>
  <si>
    <t>POSICIONES · GRUPO J</t>
  </si>
  <si>
    <t>GRUPO K</t>
  </si>
  <si>
    <t>POSICIONES · GRUPO K</t>
  </si>
  <si>
    <t>GRUPO L</t>
  </si>
  <si>
    <t>POSICIONES · GRUPO L</t>
  </si>
  <si>
    <t>Campeón</t>
  </si>
  <si>
    <t>BACKEND · NO EDITAR · V4</t>
  </si>
  <si>
    <t>TABLA DE TERCEROS · RANKING Y CLAVE FIFA</t>
  </si>
  <si>
    <t>SALIDAS DE CLASIFICADOS</t>
  </si>
  <si>
    <t>ARMADO DE LLAVES · ELIMINACIÓN DIRECTA</t>
  </si>
  <si>
    <t>Equipo 3</t>
  </si>
  <si>
    <t>Equipo 4</t>
  </si>
  <si>
    <t>No. Partido</t>
  </si>
  <si>
    <t>Fuente</t>
  </si>
  <si>
    <t>A</t>
  </si>
  <si>
    <t>MEXICO</t>
  </si>
  <si>
    <t>SUDAFRICA</t>
  </si>
  <si>
    <t>COREA DEL SUR</t>
  </si>
  <si>
    <t>CHEQUIA</t>
  </si>
  <si>
    <t>Clave</t>
  </si>
  <si>
    <t>GF</t>
  </si>
  <si>
    <t>Score</t>
  </si>
  <si>
    <t>Top</t>
  </si>
  <si>
    <t>Top8 Grupo</t>
  </si>
  <si>
    <t>M</t>
  </si>
  <si>
    <t>Equipo A</t>
  </si>
  <si>
    <t>Equipo B</t>
  </si>
  <si>
    <t>Winner</t>
  </si>
  <si>
    <t>FIFA</t>
  </si>
  <si>
    <t>B</t>
  </si>
  <si>
    <t>CANADA</t>
  </si>
  <si>
    <t>BOSNIA Y HERZEGOVINA</t>
  </si>
  <si>
    <t>QATAR</t>
  </si>
  <si>
    <t>SUIZA</t>
  </si>
  <si>
    <t>3A</t>
  </si>
  <si>
    <t>1A</t>
  </si>
  <si>
    <t>2A</t>
  </si>
  <si>
    <t>2B</t>
  </si>
  <si>
    <t>C</t>
  </si>
  <si>
    <t>BRASIL</t>
  </si>
  <si>
    <t>MARRUECOS</t>
  </si>
  <si>
    <t>HAITI</t>
  </si>
  <si>
    <t>ESCOCIA</t>
  </si>
  <si>
    <t>3B</t>
  </si>
  <si>
    <t>1E</t>
  </si>
  <si>
    <t>D</t>
  </si>
  <si>
    <t>USA</t>
  </si>
  <si>
    <t>PARAGUAY</t>
  </si>
  <si>
    <t>AUSTRALIA</t>
  </si>
  <si>
    <t>TURQUIA</t>
  </si>
  <si>
    <t>3C</t>
  </si>
  <si>
    <t>1F</t>
  </si>
  <si>
    <t>2C</t>
  </si>
  <si>
    <t>ALEMANIA</t>
  </si>
  <si>
    <t>CURAZAO</t>
  </si>
  <si>
    <t>COSTA DE MARFIL</t>
  </si>
  <si>
    <t>ECUADOR</t>
  </si>
  <si>
    <t>3D</t>
  </si>
  <si>
    <t>1B</t>
  </si>
  <si>
    <t>1C</t>
  </si>
  <si>
    <t>2F</t>
  </si>
  <si>
    <t>F</t>
  </si>
  <si>
    <t>PAISES BAJOS</t>
  </si>
  <si>
    <t>JAPON</t>
  </si>
  <si>
    <t>SUECIA</t>
  </si>
  <si>
    <t>TUNEZ</t>
  </si>
  <si>
    <t>3E</t>
  </si>
  <si>
    <t>1I</t>
  </si>
  <si>
    <t>BELGICA</t>
  </si>
  <si>
    <t>EGIPTO</t>
  </si>
  <si>
    <t>IRAN</t>
  </si>
  <si>
    <t>NUEVA ZELANDA</t>
  </si>
  <si>
    <t>3F</t>
  </si>
  <si>
    <t>2E</t>
  </si>
  <si>
    <t>2I</t>
  </si>
  <si>
    <t>H</t>
  </si>
  <si>
    <t>ESPAÑA</t>
  </si>
  <si>
    <t>CABO VERDE</t>
  </si>
  <si>
    <t>ARABIA SAUDITA</t>
  </si>
  <si>
    <t>URUGUAY</t>
  </si>
  <si>
    <t>3G</t>
  </si>
  <si>
    <t>I</t>
  </si>
  <si>
    <t>FRANCIA</t>
  </si>
  <si>
    <t>SENEGAL</t>
  </si>
  <si>
    <t>IRAK</t>
  </si>
  <si>
    <t>NORUEGA</t>
  </si>
  <si>
    <t>3H</t>
  </si>
  <si>
    <t>1L</t>
  </si>
  <si>
    <t>ARGENTINA</t>
  </si>
  <si>
    <t>ARGELIA</t>
  </si>
  <si>
    <t>AUSTRIA</t>
  </si>
  <si>
    <t>JORDANIA</t>
  </si>
  <si>
    <t>3I</t>
  </si>
  <si>
    <t>1D</t>
  </si>
  <si>
    <t>K</t>
  </si>
  <si>
    <t>PORTUGAL</t>
  </si>
  <si>
    <t>RD CONGO</t>
  </si>
  <si>
    <t>UZBEKISTAN</t>
  </si>
  <si>
    <t>COLOMBIA</t>
  </si>
  <si>
    <t>3J</t>
  </si>
  <si>
    <t>Clave FIFA</t>
  </si>
  <si>
    <t>Fila Anexo</t>
  </si>
  <si>
    <t>1G</t>
  </si>
  <si>
    <t>1K</t>
  </si>
  <si>
    <t>Team 1A</t>
  </si>
  <si>
    <t>Team 1B</t>
  </si>
  <si>
    <t>Team 1D</t>
  </si>
  <si>
    <t>Team 1E</t>
  </si>
  <si>
    <t>Team 1G</t>
  </si>
  <si>
    <t>Team 1I</t>
  </si>
  <si>
    <t>Team 1K</t>
  </si>
  <si>
    <t>Team 1L</t>
  </si>
  <si>
    <t>L</t>
  </si>
  <si>
    <t>INGLATERRA</t>
  </si>
  <si>
    <t>CROACIA</t>
  </si>
  <si>
    <t>GHANA</t>
  </si>
  <si>
    <t>PANAMA</t>
  </si>
  <si>
    <t>3K</t>
  </si>
  <si>
    <t>2D</t>
  </si>
  <si>
    <t>2K</t>
  </si>
  <si>
    <t>2L</t>
  </si>
  <si>
    <t>3L</t>
  </si>
  <si>
    <t>1H</t>
  </si>
  <si>
    <t>2J</t>
  </si>
  <si>
    <t>1J</t>
  </si>
  <si>
    <t>2H</t>
  </si>
  <si>
    <t>ANEXO C · 495 COMBINACIONES FIFA</t>
  </si>
  <si>
    <t>GRUPO A · CÁLCULO Y CLASIFICACIÓN</t>
  </si>
  <si>
    <t>Opción</t>
  </si>
  <si>
    <t>2G</t>
  </si>
  <si>
    <t>Loser</t>
  </si>
  <si>
    <t>Emp L</t>
  </si>
  <si>
    <t>Emp V</t>
  </si>
  <si>
    <t>EFGHIJKL</t>
  </si>
  <si>
    <t>DFGHIJKL</t>
  </si>
  <si>
    <t>DEGHIJKL</t>
  </si>
  <si>
    <t>DEFHIJKL</t>
  </si>
  <si>
    <t>DEFGIJKL</t>
  </si>
  <si>
    <t>DEFGHJKL</t>
  </si>
  <si>
    <t>DEFGHIKL</t>
  </si>
  <si>
    <t>DEFGHIJL</t>
  </si>
  <si>
    <t>GA</t>
  </si>
  <si>
    <t>DEFGHIJK</t>
  </si>
  <si>
    <t>CFGHIJKL</t>
  </si>
  <si>
    <t>CEGHIJKL</t>
  </si>
  <si>
    <t>CEFHIJKL</t>
  </si>
  <si>
    <t>CEFGIJKL</t>
  </si>
  <si>
    <t>GRUPO B · CÁLCULO Y CLASIFICACIÓN</t>
  </si>
  <si>
    <t>CEFGHJKL</t>
  </si>
  <si>
    <t>CEFGHIKL</t>
  </si>
  <si>
    <t>CEFGHIJL</t>
  </si>
  <si>
    <t>CEFGHIJK</t>
  </si>
  <si>
    <t>CDGHIJKL</t>
  </si>
  <si>
    <t>CDFHIJKL</t>
  </si>
  <si>
    <t>CDFGIJKL</t>
  </si>
  <si>
    <t>CDFGHJKL</t>
  </si>
  <si>
    <t>CDFGHIKL</t>
  </si>
  <si>
    <t>CDFGHIJL</t>
  </si>
  <si>
    <t>CDFGHIJK</t>
  </si>
  <si>
    <t>CDEHIJKL</t>
  </si>
  <si>
    <t>CDEGIJKL</t>
  </si>
  <si>
    <t>CDEGHJKL</t>
  </si>
  <si>
    <t>GRUPO C · CÁLCULO Y CLASIFICACIÓN</t>
  </si>
  <si>
    <t>CDEGHIKL</t>
  </si>
  <si>
    <t>CDEGHIJL</t>
  </si>
  <si>
    <t>CDEGHIJK</t>
  </si>
  <si>
    <t>CDEFIJKL</t>
  </si>
  <si>
    <t>CDEFHJKL</t>
  </si>
  <si>
    <t>CDEFHIKL</t>
  </si>
  <si>
    <t>CDEFHIJL</t>
  </si>
  <si>
    <t>CDEFHIJK</t>
  </si>
  <si>
    <t>CDEFGJKL</t>
  </si>
  <si>
    <t>CDEFGIKL</t>
  </si>
  <si>
    <t>CDEFGIJL</t>
  </si>
  <si>
    <t>CDEFGIJK</t>
  </si>
  <si>
    <t>CDEFGHKL</t>
  </si>
  <si>
    <t>CDEFGHJL</t>
  </si>
  <si>
    <t>GRUPO D · CÁLCULO Y CLASIFICACIÓN</t>
  </si>
  <si>
    <t>CDEFGHJK</t>
  </si>
  <si>
    <t>CDEFGHIL</t>
  </si>
  <si>
    <t>CDEFGHIK</t>
  </si>
  <si>
    <t>CDEFGHIJ</t>
  </si>
  <si>
    <t>BFGHIJKL</t>
  </si>
  <si>
    <t>BEGHIJKL</t>
  </si>
  <si>
    <t>BEFHIJKL</t>
  </si>
  <si>
    <t>BEFGIJKL</t>
  </si>
  <si>
    <t>BEFGHJKL</t>
  </si>
  <si>
    <t>BEFGHIKL</t>
  </si>
  <si>
    <t>BEFGHIJL</t>
  </si>
  <si>
    <t>BEFGHIJK</t>
  </si>
  <si>
    <t>BDGHIJKL</t>
  </si>
  <si>
    <t>BDFHIJKL</t>
  </si>
  <si>
    <t>GRUPO E · CÁLCULO Y CLASIFICACIÓN</t>
  </si>
  <si>
    <t>BDFGIJKL</t>
  </si>
  <si>
    <t>BDFGHJKL</t>
  </si>
  <si>
    <t>BDFGHIKL</t>
  </si>
  <si>
    <t>BDFGHIJL</t>
  </si>
  <si>
    <t>BDFGHIJK</t>
  </si>
  <si>
    <t>BDEHIJKL</t>
  </si>
  <si>
    <t>BDEGIJKL</t>
  </si>
  <si>
    <t>BDEGHJKL</t>
  </si>
  <si>
    <t>BDEGHIKL</t>
  </si>
  <si>
    <t>BDEGHIJL</t>
  </si>
  <si>
    <t>BDEGHIJK</t>
  </si>
  <si>
    <t>BDEFIJKL</t>
  </si>
  <si>
    <t>BDEFHJKL</t>
  </si>
  <si>
    <t>BDEFHIKL</t>
  </si>
  <si>
    <t>GRUPO F · CÁLCULO Y CLASIFICACIÓN</t>
  </si>
  <si>
    <t>BDEFHIJL</t>
  </si>
  <si>
    <t>BDEFHIJK</t>
  </si>
  <si>
    <t>BDEFGJKL</t>
  </si>
  <si>
    <t>BDEFGIKL</t>
  </si>
  <si>
    <t>BDEFGIJL</t>
  </si>
  <si>
    <t>BDEFGIJK</t>
  </si>
  <si>
    <t>BDEFGHKL</t>
  </si>
  <si>
    <t>BDEFGHJL</t>
  </si>
  <si>
    <t>BDEFGHJK</t>
  </si>
  <si>
    <t>BDEFGHIL</t>
  </si>
  <si>
    <t>BDEFGHIK</t>
  </si>
  <si>
    <t>BDEFGHIJ</t>
  </si>
  <si>
    <t>BCGHIJKL</t>
  </si>
  <si>
    <t>BCFHIJKL</t>
  </si>
  <si>
    <t>GRUPO G · CÁLCULO Y CLASIFICACIÓN</t>
  </si>
  <si>
    <t>BCFGIJKL</t>
  </si>
  <si>
    <t>BCFGHJKL</t>
  </si>
  <si>
    <t>BCFGHIKL</t>
  </si>
  <si>
    <t>BCFGHIJL</t>
  </si>
  <si>
    <t>BCFGHIJK</t>
  </si>
  <si>
    <t>BCEHIJKL</t>
  </si>
  <si>
    <t>BCEGIJKL</t>
  </si>
  <si>
    <t>BCEGHJKL</t>
  </si>
  <si>
    <t>BCEGHIKL</t>
  </si>
  <si>
    <t>BCEGHIJL</t>
  </si>
  <si>
    <t>BCEGHIJK</t>
  </si>
  <si>
    <t>BCEFIJKL</t>
  </si>
  <si>
    <t>BCEFHJKL</t>
  </si>
  <si>
    <t>BCEFHIKL</t>
  </si>
  <si>
    <t>GRUPO H · CÁLCULO Y CLASIFICACIÓN</t>
  </si>
  <si>
    <t>BCEFHIJL</t>
  </si>
  <si>
    <t>BCEFHIJK</t>
  </si>
  <si>
    <t>BCEFGJKL</t>
  </si>
  <si>
    <t>BCEFGIKL</t>
  </si>
  <si>
    <t>BCEFGIJL</t>
  </si>
  <si>
    <t>BCEFGIJK</t>
  </si>
  <si>
    <t>BCEFGHKL</t>
  </si>
  <si>
    <t>BCEFGHJL</t>
  </si>
  <si>
    <t>BCEFGHJK</t>
  </si>
  <si>
    <t>BCEFGHIL</t>
  </si>
  <si>
    <t>BCEFGHIK</t>
  </si>
  <si>
    <t>BCEFGHIJ</t>
  </si>
  <si>
    <t>BCDHIJKL</t>
  </si>
  <si>
    <t>BCDGIJKL</t>
  </si>
  <si>
    <t>GRUPO I · CÁLCULO Y CLASIFICACIÓN</t>
  </si>
  <si>
    <t>BCDGHJKL</t>
  </si>
  <si>
    <t>BCDGHIKL</t>
  </si>
  <si>
    <t>BCDGHIJL</t>
  </si>
  <si>
    <t>BCDGHIJK</t>
  </si>
  <si>
    <t>BCDFIJKL</t>
  </si>
  <si>
    <t>BCDFHJKL</t>
  </si>
  <si>
    <t>BCDFHIKL</t>
  </si>
  <si>
    <t>BCDFHIJL</t>
  </si>
  <si>
    <t>BCDFHIJK</t>
  </si>
  <si>
    <t>BCDFGJKL</t>
  </si>
  <si>
    <t>BCDFGIKL</t>
  </si>
  <si>
    <t>BCDFGIJL</t>
  </si>
  <si>
    <t>BCDFGIJK</t>
  </si>
  <si>
    <t>BCDFGHKL</t>
  </si>
  <si>
    <t>GRUPO J · CÁLCULO Y CLASIFICACIÓN</t>
  </si>
  <si>
    <t>BCDFGHJL</t>
  </si>
  <si>
    <t>BCDFGHJK</t>
  </si>
  <si>
    <t>BCDFGHIL</t>
  </si>
  <si>
    <t>BCDFGHIK</t>
  </si>
  <si>
    <t>BCDFGHIJ</t>
  </si>
  <si>
    <t>BCDEIJKL</t>
  </si>
  <si>
    <t>BCDEHJKL</t>
  </si>
  <si>
    <t>BCDEHIKL</t>
  </si>
  <si>
    <t>BCDEHIJL</t>
  </si>
  <si>
    <t>BCDEHIJK</t>
  </si>
  <si>
    <t>BCDEGJKL</t>
  </si>
  <si>
    <t>BCDEGIKL</t>
  </si>
  <si>
    <t>BCDEGIJL</t>
  </si>
  <si>
    <t>BCDEGIJK</t>
  </si>
  <si>
    <t>GRUPO K · CÁLCULO Y CLASIFICACIÓN</t>
  </si>
  <si>
    <t>BCDEGHKL</t>
  </si>
  <si>
    <t>BCDEGHJL</t>
  </si>
  <si>
    <t>BCDEGHJK</t>
  </si>
  <si>
    <t>BCDEGHIL</t>
  </si>
  <si>
    <t>BCDEGHIK</t>
  </si>
  <si>
    <t>BCDEGHIJ</t>
  </si>
  <si>
    <t>BCDEFJKL</t>
  </si>
  <si>
    <t>BCDEFIKL</t>
  </si>
  <si>
    <t>BCDEFIJL</t>
  </si>
  <si>
    <t>BCDEFIJK</t>
  </si>
  <si>
    <t>BCDEFHKL</t>
  </si>
  <si>
    <t>BCDEFHJL</t>
  </si>
  <si>
    <t>BCDEFHJK</t>
  </si>
  <si>
    <t>BCDEFHIL</t>
  </si>
  <si>
    <t>GRUPO L · CÁLCULO Y CLASIFICACIÓN</t>
  </si>
  <si>
    <t>BCDEFHIK</t>
  </si>
  <si>
    <t>BCDEFHIJ</t>
  </si>
  <si>
    <t>BCDEFGKL</t>
  </si>
  <si>
    <t>BCDEFGJL</t>
  </si>
  <si>
    <t>BCDEFGJK</t>
  </si>
  <si>
    <t>BCDEFGIL</t>
  </si>
  <si>
    <t>BCDEFGIK</t>
  </si>
  <si>
    <t>BCDEFGIJ</t>
  </si>
  <si>
    <t>BCDEFGHL</t>
  </si>
  <si>
    <t>BCDEFGHK</t>
  </si>
  <si>
    <t>BCDEFGHJ</t>
  </si>
  <si>
    <t>BCDEFGHI</t>
  </si>
  <si>
    <t>AFGHIJKL</t>
  </si>
  <si>
    <t>AEGHIJKL</t>
  </si>
  <si>
    <t>AEFHIJKL</t>
  </si>
  <si>
    <t>AEFGIJKL</t>
  </si>
  <si>
    <t>AEFGHJKL</t>
  </si>
  <si>
    <t>AEFGHIKL</t>
  </si>
  <si>
    <t>AEFGHIJL</t>
  </si>
  <si>
    <t>AEFGHIJK</t>
  </si>
  <si>
    <t>ADGHIJKL</t>
  </si>
  <si>
    <t>ADFHIJKL</t>
  </si>
  <si>
    <t>ADFGIJKL</t>
  </si>
  <si>
    <t>ADFGHJKL</t>
  </si>
  <si>
    <t>ADFGHIKL</t>
  </si>
  <si>
    <t>ADFGHIJL</t>
  </si>
  <si>
    <t>ADFGHIJK</t>
  </si>
  <si>
    <t>ADEHIJKL</t>
  </si>
  <si>
    <t>ADEGIJKL</t>
  </si>
  <si>
    <t>ADEGHJKL</t>
  </si>
  <si>
    <t>ADEGHIKL</t>
  </si>
  <si>
    <t>ADEGHIJL</t>
  </si>
  <si>
    <t>ADEGHIJK</t>
  </si>
  <si>
    <t>ADEFIJKL</t>
  </si>
  <si>
    <t>ADEFHJKL</t>
  </si>
  <si>
    <t>ADEFHIKL</t>
  </si>
  <si>
    <t>ADEFHIJL</t>
  </si>
  <si>
    <t>ADEFHIJK</t>
  </si>
  <si>
    <t>ADEFGJKL</t>
  </si>
  <si>
    <t>ADEFGIKL</t>
  </si>
  <si>
    <t>ADEFGIJL</t>
  </si>
  <si>
    <t>ADEFGIJK</t>
  </si>
  <si>
    <t>ADEFGHKL</t>
  </si>
  <si>
    <t>ADEFGHJL</t>
  </si>
  <si>
    <t>ADEFGHJK</t>
  </si>
  <si>
    <t>ADEFGHIL</t>
  </si>
  <si>
    <t>ADEFGHIK</t>
  </si>
  <si>
    <t>ADEFGHIJ</t>
  </si>
  <si>
    <t>ACGHIJKL</t>
  </si>
  <si>
    <t>ACFHIJKL</t>
  </si>
  <si>
    <t>ACFGIJKL</t>
  </si>
  <si>
    <t>ACFGHJKL</t>
  </si>
  <si>
    <t>ACFGHIKL</t>
  </si>
  <si>
    <t>ACFGHIJL</t>
  </si>
  <si>
    <t>ACFGHIJK</t>
  </si>
  <si>
    <t>ACEHIJKL</t>
  </si>
  <si>
    <t>ACEGIJKL</t>
  </si>
  <si>
    <t>ACEGHJKL</t>
  </si>
  <si>
    <t>ACEGHIKL</t>
  </si>
  <si>
    <t>ACEGHIJL</t>
  </si>
  <si>
    <t>ACEGHIJK</t>
  </si>
  <si>
    <t>ACEFIJKL</t>
  </si>
  <si>
    <t>ACEFHJKL</t>
  </si>
  <si>
    <t>ACEFHIKL</t>
  </si>
  <si>
    <t>ACEFHIJL</t>
  </si>
  <si>
    <t>ACEFHIJK</t>
  </si>
  <si>
    <t>ACEFGJKL</t>
  </si>
  <si>
    <t>ACEFGIKL</t>
  </si>
  <si>
    <t>ACEFGIJL</t>
  </si>
  <si>
    <t>ACEFGIJK</t>
  </si>
  <si>
    <t>ACEFGHKL</t>
  </si>
  <si>
    <t>ACEFGHJL</t>
  </si>
  <si>
    <t>ACEFGHJK</t>
  </si>
  <si>
    <t>ACEFGHIL</t>
  </si>
  <si>
    <t>ACEFGHIK</t>
  </si>
  <si>
    <t>ACEFGHIJ</t>
  </si>
  <si>
    <t>ACDHIJKL</t>
  </si>
  <si>
    <t>ACDGIJKL</t>
  </si>
  <si>
    <t>ACDGHJKL</t>
  </si>
  <si>
    <t>ACDGHIKL</t>
  </si>
  <si>
    <t>ACDGHIJL</t>
  </si>
  <si>
    <t>ACDGHIJK</t>
  </si>
  <si>
    <t>ACDFIJKL</t>
  </si>
  <si>
    <t>ACDFHJKL</t>
  </si>
  <si>
    <t>ACDFHIKL</t>
  </si>
  <si>
    <t>ACDFHIJL</t>
  </si>
  <si>
    <t>ACDFHIJK</t>
  </si>
  <si>
    <t>ACDFGJKL</t>
  </si>
  <si>
    <t>ACDFGIKL</t>
  </si>
  <si>
    <t>ACDFGIJL</t>
  </si>
  <si>
    <t>ACDFGIJK</t>
  </si>
  <si>
    <t>ACDFGHKL</t>
  </si>
  <si>
    <t>ACDFGHJL</t>
  </si>
  <si>
    <t>ACDFGHJK</t>
  </si>
  <si>
    <t>ACDFGHIL</t>
  </si>
  <si>
    <t>ACDFGHIK</t>
  </si>
  <si>
    <t>ACDFGHIJ</t>
  </si>
  <si>
    <t>ACDEIJKL</t>
  </si>
  <si>
    <t>ACDEHJKL</t>
  </si>
  <si>
    <t>ACDEHIKL</t>
  </si>
  <si>
    <t>ACDEHIJL</t>
  </si>
  <si>
    <t>ACDEHIJK</t>
  </si>
  <si>
    <t>ACDEGJKL</t>
  </si>
  <si>
    <t>ACDEGIKL</t>
  </si>
  <si>
    <t>ACDEGIJL</t>
  </si>
  <si>
    <t>ACDEGIJK</t>
  </si>
  <si>
    <t>ACDEGHKL</t>
  </si>
  <si>
    <t>ACDEGHJL</t>
  </si>
  <si>
    <t>ACDEGHJK</t>
  </si>
  <si>
    <t>ACDEGHIL</t>
  </si>
  <si>
    <t>ACDEGHIK</t>
  </si>
  <si>
    <t>ACDEGHIJ</t>
  </si>
  <si>
    <t>ACDEFJKL</t>
  </si>
  <si>
    <t>ACDEFIKL</t>
  </si>
  <si>
    <t>ACDEFIJL</t>
  </si>
  <si>
    <t>ACDEFIJK</t>
  </si>
  <si>
    <t>ACDEFHKL</t>
  </si>
  <si>
    <t>ACDEFHJL</t>
  </si>
  <si>
    <t>ACDEFHJK</t>
  </si>
  <si>
    <t>ACDEFHIL</t>
  </si>
  <si>
    <t>ACDEFHIK</t>
  </si>
  <si>
    <t>ACDEFHIJ</t>
  </si>
  <si>
    <t>ACDEFGKL</t>
  </si>
  <si>
    <t>ACDEFGJL</t>
  </si>
  <si>
    <t>ACDEFGJK</t>
  </si>
  <si>
    <t>ACDEFGIL</t>
  </si>
  <si>
    <t>ACDEFGIK</t>
  </si>
  <si>
    <t>ACDEFGIJ</t>
  </si>
  <si>
    <t>ACDEFGHL</t>
  </si>
  <si>
    <t>ACDEFGHK</t>
  </si>
  <si>
    <t>ACDEFGHJ</t>
  </si>
  <si>
    <t>ACDEFGHI</t>
  </si>
  <si>
    <t>ABGHIJKL</t>
  </si>
  <si>
    <t>ABFHIJKL</t>
  </si>
  <si>
    <t>ABFGIJKL</t>
  </si>
  <si>
    <t>ABFGHJKL</t>
  </si>
  <si>
    <t>ABFGHIKL</t>
  </si>
  <si>
    <t>ABFGHIJL</t>
  </si>
  <si>
    <t>ABFGHIJK</t>
  </si>
  <si>
    <t>ABEHIJKL</t>
  </si>
  <si>
    <t>ABEGIJKL</t>
  </si>
  <si>
    <t>ABEGHJKL</t>
  </si>
  <si>
    <t>ABEGHIKL</t>
  </si>
  <si>
    <t>ABEGHIJL</t>
  </si>
  <si>
    <t>ABEGHIJK</t>
  </si>
  <si>
    <t>ABEFIJKL</t>
  </si>
  <si>
    <t>ABEFHJKL</t>
  </si>
  <si>
    <t>ABEFHIKL</t>
  </si>
  <si>
    <t>ABEFHIJL</t>
  </si>
  <si>
    <t>ABEFHIJK</t>
  </si>
  <si>
    <t>ABEFGJKL</t>
  </si>
  <si>
    <t>ABEFGIKL</t>
  </si>
  <si>
    <t>ABEFGIJL</t>
  </si>
  <si>
    <t>ABEFGIJK</t>
  </si>
  <si>
    <t>ABEFGHKL</t>
  </si>
  <si>
    <t>ABEFGHJL</t>
  </si>
  <si>
    <t>ABEFGHJK</t>
  </si>
  <si>
    <t>ABEFGHIL</t>
  </si>
  <si>
    <t>ABEFGHIK</t>
  </si>
  <si>
    <t>ABEFGHIJ</t>
  </si>
  <si>
    <t>ABDHIJKL</t>
  </si>
  <si>
    <t>ABDGIJKL</t>
  </si>
  <si>
    <t>ABDGHJKL</t>
  </si>
  <si>
    <t>ABDGHIKL</t>
  </si>
  <si>
    <t>ABDGHIJL</t>
  </si>
  <si>
    <t>ABDGHIJK</t>
  </si>
  <si>
    <t>ABDFIJKL</t>
  </si>
  <si>
    <t>ABDFHJKL</t>
  </si>
  <si>
    <t>ABDFHIKL</t>
  </si>
  <si>
    <t>ABDFHIJL</t>
  </si>
  <si>
    <t>ABDFHIJK</t>
  </si>
  <si>
    <t>ABDFGJKL</t>
  </si>
  <si>
    <t>ABDFGIKL</t>
  </si>
  <si>
    <t>ABDFGIJL</t>
  </si>
  <si>
    <t>ABDFGIJK</t>
  </si>
  <si>
    <t>ABDFGHKL</t>
  </si>
  <si>
    <t>ABDFGHJL</t>
  </si>
  <si>
    <t>ABDFGHJK</t>
  </si>
  <si>
    <t>ABDFGHIL</t>
  </si>
  <si>
    <t>ABDFGHIK</t>
  </si>
  <si>
    <t>ABDFGHIJ</t>
  </si>
  <si>
    <t>ABDEIJKL</t>
  </si>
  <si>
    <t>ABDEHJKL</t>
  </si>
  <si>
    <t>ABDEHIKL</t>
  </si>
  <si>
    <t>ABDEHIJL</t>
  </si>
  <si>
    <t>ABDEHIJK</t>
  </si>
  <si>
    <t>ABDEGJKL</t>
  </si>
  <si>
    <t>ABDEGIKL</t>
  </si>
  <si>
    <t>ABDEGIJL</t>
  </si>
  <si>
    <t>ABDEGIJK</t>
  </si>
  <si>
    <t>ABDEGHKL</t>
  </si>
  <si>
    <t>ABDEGHJL</t>
  </si>
  <si>
    <t>ABDEGHJK</t>
  </si>
  <si>
    <t>ABDEGHIL</t>
  </si>
  <si>
    <t>ABDEGHIK</t>
  </si>
  <si>
    <t>ABDEGHIJ</t>
  </si>
  <si>
    <t>ABDEFJKL</t>
  </si>
  <si>
    <t>ABDEFIKL</t>
  </si>
  <si>
    <t>ABDEFIJL</t>
  </si>
  <si>
    <t>ABDEFIJK</t>
  </si>
  <si>
    <t>ABDEFHKL</t>
  </si>
  <si>
    <t>ABDEFHJL</t>
  </si>
  <si>
    <t>ABDEFHJK</t>
  </si>
  <si>
    <t>ABDEFHIL</t>
  </si>
  <si>
    <t>ABDEFHIK</t>
  </si>
  <si>
    <t>ABDEFHIJ</t>
  </si>
  <si>
    <t>ABDEFGKL</t>
  </si>
  <si>
    <t>ABDEFGJL</t>
  </si>
  <si>
    <t>ABDEFGJK</t>
  </si>
  <si>
    <t>ABDEFGIL</t>
  </si>
  <si>
    <t>ABDEFGIK</t>
  </si>
  <si>
    <t>ABDEFGIJ</t>
  </si>
  <si>
    <t>ABDEFGHL</t>
  </si>
  <si>
    <t>ABDEFGHK</t>
  </si>
  <si>
    <t>ABDEFGHJ</t>
  </si>
  <si>
    <t>ABDEFGHI</t>
  </si>
  <si>
    <t>ABCHIJKL</t>
  </si>
  <si>
    <t>ABCGIJKL</t>
  </si>
  <si>
    <t>ABCGHJKL</t>
  </si>
  <si>
    <t>ABCGHIKL</t>
  </si>
  <si>
    <t>ABCGHIJL</t>
  </si>
  <si>
    <t>ABCGHIJK</t>
  </si>
  <si>
    <t>ABCFIJKL</t>
  </si>
  <si>
    <t>ABCFHJKL</t>
  </si>
  <si>
    <t>ABCFHIKL</t>
  </si>
  <si>
    <t>ABCFHIJL</t>
  </si>
  <si>
    <t>ABCFHIJK</t>
  </si>
  <si>
    <t>ABCFGJKL</t>
  </si>
  <si>
    <t>ABCFGIKL</t>
  </si>
  <si>
    <t>ABCFGIJL</t>
  </si>
  <si>
    <t>ABCFGIJK</t>
  </si>
  <si>
    <t>ABCFGHKL</t>
  </si>
  <si>
    <t>ABCFGHJL</t>
  </si>
  <si>
    <t>ABCFGHJK</t>
  </si>
  <si>
    <t>ABCFGHIL</t>
  </si>
  <si>
    <t>ABCFGHIK</t>
  </si>
  <si>
    <t>ABCFGHIJ</t>
  </si>
  <si>
    <t>ABCEIJKL</t>
  </si>
  <si>
    <t>ABCEHJKL</t>
  </si>
  <si>
    <t>ABCEHIKL</t>
  </si>
  <si>
    <t>ABCEHIJL</t>
  </si>
  <si>
    <t>ABCEHIJK</t>
  </si>
  <si>
    <t>ABCEGJKL</t>
  </si>
  <si>
    <t>ABCEGIKL</t>
  </si>
  <si>
    <t>ABCEGIJL</t>
  </si>
  <si>
    <t>ABCEGIJK</t>
  </si>
  <si>
    <t>ABCEGHKL</t>
  </si>
  <si>
    <t>ABCEGHJL</t>
  </si>
  <si>
    <t>ABCEGHJK</t>
  </si>
  <si>
    <t>ABCEGHIL</t>
  </si>
  <si>
    <t>ABCEGHIK</t>
  </si>
  <si>
    <t>ABCEGHIJ</t>
  </si>
  <si>
    <t>ABCEFJKL</t>
  </si>
  <si>
    <t>ABCEFIKL</t>
  </si>
  <si>
    <t>ABCEFIJL</t>
  </si>
  <si>
    <t>ABCEFIJK</t>
  </si>
  <si>
    <t>ABCEFHKL</t>
  </si>
  <si>
    <t>ABCEFHJL</t>
  </si>
  <si>
    <t>ABCEFHJK</t>
  </si>
  <si>
    <t>ABCEFHIL</t>
  </si>
  <si>
    <t>ABCEFHIK</t>
  </si>
  <si>
    <t>ABCEFHIJ</t>
  </si>
  <si>
    <t>ABCEFGKL</t>
  </si>
  <si>
    <t>ABCEFGJL</t>
  </si>
  <si>
    <t>ABCEFGJK</t>
  </si>
  <si>
    <t>ABCEFGIL</t>
  </si>
  <si>
    <t>ABCEFGIK</t>
  </si>
  <si>
    <t>ABCEFGIJ</t>
  </si>
  <si>
    <t>ABCEFGHL</t>
  </si>
  <si>
    <t>ABCEFGHK</t>
  </si>
  <si>
    <t>ABCEFGHJ</t>
  </si>
  <si>
    <t>ABCEFGHI</t>
  </si>
  <si>
    <t>ABCDIJKL</t>
  </si>
  <si>
    <t>ABCDHJKL</t>
  </si>
  <si>
    <t>ABCDHIKL</t>
  </si>
  <si>
    <t>ABCDHIJL</t>
  </si>
  <si>
    <t>ABCDHIJK</t>
  </si>
  <si>
    <t>ABCDGJKL</t>
  </si>
  <si>
    <t>ABCDGIKL</t>
  </si>
  <si>
    <t>ABCDGIJL</t>
  </si>
  <si>
    <t>ABCDGIJK</t>
  </si>
  <si>
    <t>ABCDGHKL</t>
  </si>
  <si>
    <t>ABCDGHJL</t>
  </si>
  <si>
    <t>ABCDGHJK</t>
  </si>
  <si>
    <t>ABCDGHIL</t>
  </si>
  <si>
    <t>ABCDGHIK</t>
  </si>
  <si>
    <t>ABCDGHIJ</t>
  </si>
  <si>
    <t>ABCDFJKL</t>
  </si>
  <si>
    <t>ABCDFIKL</t>
  </si>
  <si>
    <t>ABCDFIJL</t>
  </si>
  <si>
    <t>ABCDFIJK</t>
  </si>
  <si>
    <t>ABCDFHKL</t>
  </si>
  <si>
    <t>ABCDFHJL</t>
  </si>
  <si>
    <t>ABCDFHJK</t>
  </si>
  <si>
    <t>ABCDFHIL</t>
  </si>
  <si>
    <t>ABCDFHIK</t>
  </si>
  <si>
    <t>ABCDFHIJ</t>
  </si>
  <si>
    <t>ABCDFGKL</t>
  </si>
  <si>
    <t>ABCDFGJL</t>
  </si>
  <si>
    <t>ABCDFGJK</t>
  </si>
  <si>
    <t>ABCDFGIL</t>
  </si>
  <si>
    <t>ABCDFGIK</t>
  </si>
  <si>
    <t>ABCDFGIJ</t>
  </si>
  <si>
    <t>ABCDFGHL</t>
  </si>
  <si>
    <t>ABCDFGHK</t>
  </si>
  <si>
    <t>ABCDFGHJ</t>
  </si>
  <si>
    <t>ABCDFGHI</t>
  </si>
  <si>
    <t>ABCDEJKL</t>
  </si>
  <si>
    <t>ABCDEIKL</t>
  </si>
  <si>
    <t>ABCDEIJL</t>
  </si>
  <si>
    <t>ABCDEIJK</t>
  </si>
  <si>
    <t>ABCDEHKL</t>
  </si>
  <si>
    <t>ABCDEHJL</t>
  </si>
  <si>
    <t>ABCDEHJK</t>
  </si>
  <si>
    <t>ABCDEHIL</t>
  </si>
  <si>
    <t>ABCDEHIK</t>
  </si>
  <si>
    <t>ABCDEHIJ</t>
  </si>
  <si>
    <t>ABCDEGKL</t>
  </si>
  <si>
    <t>ABCDEGJL</t>
  </si>
  <si>
    <t>ABCDEGJK</t>
  </si>
  <si>
    <t>ABCDEGIL</t>
  </si>
  <si>
    <t>ABCDEGIK</t>
  </si>
  <si>
    <t>ABCDEGIJ</t>
  </si>
  <si>
    <t>ABCDEGHL</t>
  </si>
  <si>
    <t>ABCDEGHK</t>
  </si>
  <si>
    <t>ABCDEGHJ</t>
  </si>
  <si>
    <t>ABCDEGHI</t>
  </si>
  <si>
    <t>ABCDEFKL</t>
  </si>
  <si>
    <t>ABCDEFJL</t>
  </si>
  <si>
    <t>ABCDEFJK</t>
  </si>
  <si>
    <t>ABCDEFIL</t>
  </si>
  <si>
    <t>ABCDEFIK</t>
  </si>
  <si>
    <t>ABCDEFIJ</t>
  </si>
  <si>
    <t>ABCDEFHL</t>
  </si>
  <si>
    <t>ABCDEFHK</t>
  </si>
  <si>
    <t>ABCDEFHJ</t>
  </si>
  <si>
    <t>ABCDEFHI</t>
  </si>
  <si>
    <t>ABCDEFGL</t>
  </si>
  <si>
    <t>ABCDEFGK</t>
  </si>
  <si>
    <t>ABCDEFGJ</t>
  </si>
  <si>
    <t>ABCDEFGI</t>
  </si>
  <si>
    <t>ABCDEFGH</t>
  </si>
  <si>
    <t>Comprobacion</t>
  </si>
  <si>
    <t>ClaveFIFA</t>
  </si>
  <si>
    <t>M1_G1</t>
  </si>
  <si>
    <t>M1_G2</t>
  </si>
  <si>
    <t>M2_G1</t>
  </si>
  <si>
    <t>M2_G2</t>
  </si>
  <si>
    <t>M3_G1</t>
  </si>
  <si>
    <t>M3_G2</t>
  </si>
  <si>
    <t>M4_G1</t>
  </si>
  <si>
    <t>M4_G2</t>
  </si>
  <si>
    <t>M5_G1</t>
  </si>
  <si>
    <t>M5_G2</t>
  </si>
  <si>
    <t>M6_G1</t>
  </si>
  <si>
    <t>M6_G2</t>
  </si>
  <si>
    <t>M7_G1</t>
  </si>
  <si>
    <t>M7_G2</t>
  </si>
  <si>
    <t>M8_G1</t>
  </si>
  <si>
    <t>M8_G2</t>
  </si>
  <si>
    <t>M9_G1</t>
  </si>
  <si>
    <t>M9_G2</t>
  </si>
  <si>
    <t>M10_G1</t>
  </si>
  <si>
    <t>M10_G2</t>
  </si>
  <si>
    <t>M11_G1</t>
  </si>
  <si>
    <t>M11_G2</t>
  </si>
  <si>
    <t>M12_G1</t>
  </si>
  <si>
    <t>M12_G2</t>
  </si>
  <si>
    <t>M13_G1</t>
  </si>
  <si>
    <t>M13_G2</t>
  </si>
  <si>
    <t>M14_G1</t>
  </si>
  <si>
    <t>M14_G2</t>
  </si>
  <si>
    <t>M15_G1</t>
  </si>
  <si>
    <t>M15_G2</t>
  </si>
  <si>
    <t>M16_G1</t>
  </si>
  <si>
    <t>M16_G2</t>
  </si>
  <si>
    <t>M17_G1</t>
  </si>
  <si>
    <t>M17_G2</t>
  </si>
  <si>
    <t>M18_G1</t>
  </si>
  <si>
    <t>M18_G2</t>
  </si>
  <si>
    <t>M19_G1</t>
  </si>
  <si>
    <t>M19_G2</t>
  </si>
  <si>
    <t>M20_G1</t>
  </si>
  <si>
    <t>M20_G2</t>
  </si>
  <si>
    <t>M21_G1</t>
  </si>
  <si>
    <t>M21_G2</t>
  </si>
  <si>
    <t>M22_G1</t>
  </si>
  <si>
    <t>M22_G2</t>
  </si>
  <si>
    <t>M23_G1</t>
  </si>
  <si>
    <t>M23_G2</t>
  </si>
  <si>
    <t>M24_G1</t>
  </si>
  <si>
    <t>M24_G2</t>
  </si>
  <si>
    <t>M25_G1</t>
  </si>
  <si>
    <t>M25_G2</t>
  </si>
  <si>
    <t>M26_G1</t>
  </si>
  <si>
    <t>M26_G2</t>
  </si>
  <si>
    <t>M27_G1</t>
  </si>
  <si>
    <t>M27_G2</t>
  </si>
  <si>
    <t>M28_G1</t>
  </si>
  <si>
    <t>M28_G2</t>
  </si>
  <si>
    <t>M29_G1</t>
  </si>
  <si>
    <t>M29_G2</t>
  </si>
  <si>
    <t>M30_G1</t>
  </si>
  <si>
    <t>M30_G2</t>
  </si>
  <si>
    <t>M31_G1</t>
  </si>
  <si>
    <t>M31_G2</t>
  </si>
  <si>
    <t>M32_G1</t>
  </si>
  <si>
    <t>M32_G2</t>
  </si>
  <si>
    <t>M33_G1</t>
  </si>
  <si>
    <t>M33_G2</t>
  </si>
  <si>
    <t>M34_G1</t>
  </si>
  <si>
    <t>M34_G2</t>
  </si>
  <si>
    <t>M35_G1</t>
  </si>
  <si>
    <t>M35_G2</t>
  </si>
  <si>
    <t>M36_G1</t>
  </si>
  <si>
    <t>M36_G2</t>
  </si>
  <si>
    <t>M37_G1</t>
  </si>
  <si>
    <t>M37_G2</t>
  </si>
  <si>
    <t>M38_G1</t>
  </si>
  <si>
    <t>M38_G2</t>
  </si>
  <si>
    <t>M39_G1</t>
  </si>
  <si>
    <t>M39_G2</t>
  </si>
  <si>
    <t>M40_G1</t>
  </si>
  <si>
    <t>M40_G2</t>
  </si>
  <si>
    <t>M41_G1</t>
  </si>
  <si>
    <t>M41_G2</t>
  </si>
  <si>
    <t>M42_G1</t>
  </si>
  <si>
    <t>M42_G2</t>
  </si>
  <si>
    <t>M43_G1</t>
  </si>
  <si>
    <t>M43_G2</t>
  </si>
  <si>
    <t>M44_G1</t>
  </si>
  <si>
    <t>M44_G2</t>
  </si>
  <si>
    <t>M45_G1</t>
  </si>
  <si>
    <t>M45_G2</t>
  </si>
  <si>
    <t>M46_G1</t>
  </si>
  <si>
    <t>M46_G2</t>
  </si>
  <si>
    <t>M47_G1</t>
  </si>
  <si>
    <t>M47_G2</t>
  </si>
  <si>
    <t>M48_G1</t>
  </si>
  <si>
    <t>M48_G2</t>
  </si>
  <si>
    <t>M49_G1</t>
  </si>
  <si>
    <t>M49_G2</t>
  </si>
  <si>
    <t>M50_G1</t>
  </si>
  <si>
    <t>M50_G2</t>
  </si>
  <si>
    <t>M51_G1</t>
  </si>
  <si>
    <t>M51_G2</t>
  </si>
  <si>
    <t>M52_G1</t>
  </si>
  <si>
    <t>M52_G2</t>
  </si>
  <si>
    <t>M53_G1</t>
  </si>
  <si>
    <t>M53_G2</t>
  </si>
  <si>
    <t>M54_G1</t>
  </si>
  <si>
    <t>M54_G2</t>
  </si>
  <si>
    <t>M55_G1</t>
  </si>
  <si>
    <t>M55_G2</t>
  </si>
  <si>
    <t>M56_G1</t>
  </si>
  <si>
    <t>M56_G2</t>
  </si>
  <si>
    <t>M57_G1</t>
  </si>
  <si>
    <t>M57_G2</t>
  </si>
  <si>
    <t>M58_G1</t>
  </si>
  <si>
    <t>M58_G2</t>
  </si>
  <si>
    <t>M59_G1</t>
  </si>
  <si>
    <t>M59_G2</t>
  </si>
  <si>
    <t>M60_G1</t>
  </si>
  <si>
    <t>M60_G2</t>
  </si>
  <si>
    <t>M61_G1</t>
  </si>
  <si>
    <t>M61_G2</t>
  </si>
  <si>
    <t>M62_G1</t>
  </si>
  <si>
    <t>M62_G2</t>
  </si>
  <si>
    <t>M63_G1</t>
  </si>
  <si>
    <t>M63_G2</t>
  </si>
  <si>
    <t>M64_G1</t>
  </si>
  <si>
    <t>M64_G2</t>
  </si>
  <si>
    <t>M65_G1</t>
  </si>
  <si>
    <t>M65_G2</t>
  </si>
  <si>
    <t>M66_G1</t>
  </si>
  <si>
    <t>M66_G2</t>
  </si>
  <si>
    <t>M67_G1</t>
  </si>
  <si>
    <t>M67_G2</t>
  </si>
  <si>
    <t>M68_G1</t>
  </si>
  <si>
    <t>M68_G2</t>
  </si>
  <si>
    <t>M69_G1</t>
  </si>
  <si>
    <t>M69_G2</t>
  </si>
  <si>
    <t>M70_G1</t>
  </si>
  <si>
    <t>M70_G2</t>
  </si>
  <si>
    <t>M71_G1</t>
  </si>
  <si>
    <t>M71_G2</t>
  </si>
  <si>
    <t>M72_G1</t>
  </si>
  <si>
    <t>M72_G2</t>
  </si>
  <si>
    <t>Campeon</t>
  </si>
  <si>
    <t>Fecha / Sede</t>
  </si>
  <si>
    <t>MEJORES TERCEROS</t>
  </si>
  <si>
    <t>Campeón del Mundial</t>
  </si>
  <si>
    <t>País del Campeón Goleador</t>
  </si>
  <si>
    <t>Equipo con más goles en 1a fase</t>
  </si>
  <si>
    <t>Peor equipo en puntos y goleo</t>
  </si>
  <si>
    <t xml:space="preserve">DESEMPATE </t>
  </si>
  <si>
    <t>X</t>
  </si>
  <si>
    <t xml:space="preserve">Goles Anotados en 1a Fase </t>
  </si>
  <si>
    <t>ESPECIALES · SOPORTE MACROS Y LISTAS</t>
  </si>
  <si>
    <t>Score Top</t>
  </si>
  <si>
    <t>Rank Top</t>
  </si>
  <si>
    <t>Score Bottom</t>
  </si>
  <si>
    <t>Rank Bottom</t>
  </si>
  <si>
    <t>TOP 6 · GOLES 1A FASE</t>
  </si>
  <si>
    <t>BOTTOM 6 · PEOR DESEMPEÑO</t>
  </si>
  <si>
    <t>SEMIFINALISTAS DISPONIBLES</t>
  </si>
  <si>
    <t>CUARTOFINALISTAS DISPONIBLES</t>
  </si>
  <si>
    <t>TOTAL GOLES · 1A FASE</t>
  </si>
  <si>
    <t>Campeón Goleador</t>
  </si>
  <si>
    <t>Equipo más goles 1a f.</t>
  </si>
  <si>
    <t>Peor equipo puntos y goleo</t>
  </si>
  <si>
    <t>Email</t>
  </si>
  <si>
    <t>3.- Guarda el archivo con tu nombre y envíalo a:</t>
  </si>
  <si>
    <t>Facebook</t>
  </si>
  <si>
    <t>Instagram</t>
  </si>
  <si>
    <t>Síguenos en:</t>
  </si>
  <si>
    <t>Quiniela Mundial 2026 · México, USA y Canadá</t>
  </si>
  <si>
    <t>INSTRUCCIONES</t>
  </si>
  <si>
    <t>1.- Llena todas las celdas de color rojo.</t>
  </si>
  <si>
    <r>
      <t>2.- Revisa que en la comprobación diga "</t>
    </r>
    <r>
      <rPr>
        <b/>
        <sz val="10"/>
        <color rgb="FF07A92E"/>
        <rFont val="Calibri"/>
        <family val="2"/>
        <scheme val="minor"/>
      </rPr>
      <t>COMPLETA</t>
    </r>
    <r>
      <rPr>
        <b/>
        <sz val="10"/>
        <color theme="1"/>
        <rFont val="Calibri"/>
        <family val="2"/>
        <scheme val="minor"/>
      </rPr>
      <t>".</t>
    </r>
  </si>
  <si>
    <t>11-Jun · Cd. México</t>
  </si>
  <si>
    <t>11-Jun · Guadalajara</t>
  </si>
  <si>
    <t>18-Jun · Atlanta</t>
  </si>
  <si>
    <t>18-Jun · Guadalajara</t>
  </si>
  <si>
    <t>24-Jun · Cd. México</t>
  </si>
  <si>
    <t>24-Jun · Monterrey</t>
  </si>
  <si>
    <t>12-Jun · Toronto</t>
  </si>
  <si>
    <t>13-Jun · San Francisco</t>
  </si>
  <si>
    <t>18-Jun · Los Ángeles</t>
  </si>
  <si>
    <t>18-Jun · Vancouver</t>
  </si>
  <si>
    <t>24-Jun · Vancouver</t>
  </si>
  <si>
    <t>24-Jun · Seattle</t>
  </si>
  <si>
    <t>13-Jun · Nueva York</t>
  </si>
  <si>
    <t>13-Jun · Boston</t>
  </si>
  <si>
    <t>19-Jun · Boston</t>
  </si>
  <si>
    <t>19-Jun · Filadelfia</t>
  </si>
  <si>
    <t>24-Jun · Miami</t>
  </si>
  <si>
    <t>24-Jun · Atlanta</t>
  </si>
  <si>
    <t>12-Jun · Los Ángeles</t>
  </si>
  <si>
    <t>14-Jun · Vancouver</t>
  </si>
  <si>
    <t>19-Jun · Seattle</t>
  </si>
  <si>
    <t>25-Jun · Los Ángeles</t>
  </si>
  <si>
    <t>25-Jun · San Francisco</t>
  </si>
  <si>
    <t>14-Jun · Houston</t>
  </si>
  <si>
    <t>14-Jun · Filadelfia</t>
  </si>
  <si>
    <t>20-Jun · Kansas City</t>
  </si>
  <si>
    <t>20-Jun · Toronto</t>
  </si>
  <si>
    <t>25-Jun · Nueva York</t>
  </si>
  <si>
    <t>25-Jun · Filadelfia</t>
  </si>
  <si>
    <t>14-Jun · Dallas</t>
  </si>
  <si>
    <t>14-Jun · Monterrey</t>
  </si>
  <si>
    <t>20-Jun · Houston</t>
  </si>
  <si>
    <t>25-Jun · Kansas City</t>
  </si>
  <si>
    <t>25-Jun · Dallas</t>
  </si>
  <si>
    <t>15-Jun · Seattle</t>
  </si>
  <si>
    <t>15-Jun · Los Ángeles</t>
  </si>
  <si>
    <t>21-Jun · Vancouver</t>
  </si>
  <si>
    <t>21-Jun · Los Ángeles</t>
  </si>
  <si>
    <t>26-Jun · Vancouver</t>
  </si>
  <si>
    <t>26-Jun · Seattle</t>
  </si>
  <si>
    <t>15-Jun · Atlanta</t>
  </si>
  <si>
    <t>15-Jun · Miami</t>
  </si>
  <si>
    <t>21-Jun · Miami</t>
  </si>
  <si>
    <t>21-Jun · Atlanta</t>
  </si>
  <si>
    <t>26-Jun · Guadalajara</t>
  </si>
  <si>
    <t>26-Jun · Houston</t>
  </si>
  <si>
    <t>16-Jun · Nueva York</t>
  </si>
  <si>
    <t>16-Jun · Boston</t>
  </si>
  <si>
    <t>22-Jun · Nueva York</t>
  </si>
  <si>
    <t>22-Jun · Filadelfia</t>
  </si>
  <si>
    <t>26-Jun · Boston</t>
  </si>
  <si>
    <t>26-Jun · Toronto</t>
  </si>
  <si>
    <t>16-Jun · Kansas City</t>
  </si>
  <si>
    <t>22-Jun · San Francisco</t>
  </si>
  <si>
    <t>22-Jun · Dallas</t>
  </si>
  <si>
    <t>27-Jun · Kansas City</t>
  </si>
  <si>
    <t>27-Jun · Dallas</t>
  </si>
  <si>
    <t>17-Jun · Houston</t>
  </si>
  <si>
    <t>17-Jun · Cd. México</t>
  </si>
  <si>
    <t>23-Jun · Guadalajara</t>
  </si>
  <si>
    <t>27-Jun · Miami</t>
  </si>
  <si>
    <t>27-Jun · Atlanta</t>
  </si>
  <si>
    <t>17-Jun · Dallas</t>
  </si>
  <si>
    <t>17-Jun · Toronto</t>
  </si>
  <si>
    <t>23-Jun · Toronto</t>
  </si>
  <si>
    <t>23-Jun · Boston</t>
  </si>
  <si>
    <t>27-Jun · Nueva York</t>
  </si>
  <si>
    <t>27-Jun · Filadelfia</t>
  </si>
  <si>
    <t>28-Jun · Los Ángeles</t>
  </si>
  <si>
    <t>29-Jun · Boston</t>
  </si>
  <si>
    <t>29-Jun · Monterrey</t>
  </si>
  <si>
    <t>29-Jun · Houston</t>
  </si>
  <si>
    <t>30-Jun · Nueva York</t>
  </si>
  <si>
    <t>30-Jun · Dallas</t>
  </si>
  <si>
    <t>30-Jun · Cd. México</t>
  </si>
  <si>
    <t>1-Jul · Atlanta</t>
  </si>
  <si>
    <t>1-Jul · San Francisco</t>
  </si>
  <si>
    <t>1-Jul · Seattle</t>
  </si>
  <si>
    <t>2-Jul · Toronto</t>
  </si>
  <si>
    <t>2-Jul · Los Ángeles</t>
  </si>
  <si>
    <t>2-Jul · Vancouver</t>
  </si>
  <si>
    <t>3-Jul · Miami</t>
  </si>
  <si>
    <t>3-Jul · Kansas City</t>
  </si>
  <si>
    <t>3-Jul · Dallas</t>
  </si>
  <si>
    <t>4-Jul · Filadelfia</t>
  </si>
  <si>
    <t>4-Jul · Houston</t>
  </si>
  <si>
    <t>5-Jul · Nueva York</t>
  </si>
  <si>
    <t>5-Jul · Cd. México</t>
  </si>
  <si>
    <t>6-Jul · Dallas</t>
  </si>
  <si>
    <t>6-Jul · Seattle</t>
  </si>
  <si>
    <t>7-Jul · Atlanta</t>
  </si>
  <si>
    <t>7-Jul · Vancouver</t>
  </si>
  <si>
    <t>9-Jul · Boston</t>
  </si>
  <si>
    <t>10-Jul · Los Ángeles</t>
  </si>
  <si>
    <t>11-Jul · Miami</t>
  </si>
  <si>
    <t>11-Jul · Kansas City</t>
  </si>
  <si>
    <t>14-Jul · Dallas</t>
  </si>
  <si>
    <t>15-Jul · Atlanta</t>
  </si>
  <si>
    <t>18-Jul · Miami</t>
  </si>
  <si>
    <t>19-Jul · Nueva York</t>
  </si>
  <si>
    <t>19-Jun · San Francisco</t>
  </si>
  <si>
    <t>20-Jun · Monterrey</t>
  </si>
  <si>
    <t>16-Jun · San Francisco</t>
  </si>
  <si>
    <t>23-Jun · Houston</t>
  </si>
  <si>
    <t>M73_E1</t>
  </si>
  <si>
    <t>M73_E2</t>
  </si>
  <si>
    <t>M74_E1</t>
  </si>
  <si>
    <t>M74_E2</t>
  </si>
  <si>
    <t>M75_E1</t>
  </si>
  <si>
    <t>M75_E2</t>
  </si>
  <si>
    <t>M76_E1</t>
  </si>
  <si>
    <t>M76_E2</t>
  </si>
  <si>
    <t>M77_E1</t>
  </si>
  <si>
    <t>M77_E2</t>
  </si>
  <si>
    <t>M78_E1</t>
  </si>
  <si>
    <t>M78_E2</t>
  </si>
  <si>
    <t>M79_E1</t>
  </si>
  <si>
    <t>M79_E2</t>
  </si>
  <si>
    <t>M80_E1</t>
  </si>
  <si>
    <t>M80_E2</t>
  </si>
  <si>
    <t>M81_E1</t>
  </si>
  <si>
    <t>M81_E2</t>
  </si>
  <si>
    <t>M82_E1</t>
  </si>
  <si>
    <t>M82_E2</t>
  </si>
  <si>
    <t>M83_E1</t>
  </si>
  <si>
    <t>M83_E2</t>
  </si>
  <si>
    <t>M84_E1</t>
  </si>
  <si>
    <t>M84_E2</t>
  </si>
  <si>
    <t>M85_E1</t>
  </si>
  <si>
    <t>M85_E2</t>
  </si>
  <si>
    <t>M86_E1</t>
  </si>
  <si>
    <t>M86_E2</t>
  </si>
  <si>
    <t>M87_E1</t>
  </si>
  <si>
    <t>M87_E2</t>
  </si>
  <si>
    <t>M88_E1</t>
  </si>
  <si>
    <t>M88_E2</t>
  </si>
  <si>
    <t>M89_E1</t>
  </si>
  <si>
    <t>M89_E2</t>
  </si>
  <si>
    <t>M90_E1</t>
  </si>
  <si>
    <t>M90_E2</t>
  </si>
  <si>
    <t>M91_E1</t>
  </si>
  <si>
    <t>M91_E2</t>
  </si>
  <si>
    <t>M92_E1</t>
  </si>
  <si>
    <t>M92_E2</t>
  </si>
  <si>
    <t>M93_E1</t>
  </si>
  <si>
    <t>M93_E2</t>
  </si>
  <si>
    <t>M94_E1</t>
  </si>
  <si>
    <t>M94_E2</t>
  </si>
  <si>
    <t>M95_E1</t>
  </si>
  <si>
    <t>M95_E2</t>
  </si>
  <si>
    <t>M96_E1</t>
  </si>
  <si>
    <t>M96_E2</t>
  </si>
  <si>
    <t>M97_E1</t>
  </si>
  <si>
    <t>M97_E2</t>
  </si>
  <si>
    <t>M98_E1</t>
  </si>
  <si>
    <t>M98_E2</t>
  </si>
  <si>
    <t>M99_E1</t>
  </si>
  <si>
    <t>M99_E2</t>
  </si>
  <si>
    <t>M100_E1</t>
  </si>
  <si>
    <t>M100_E2</t>
  </si>
  <si>
    <t>M101_E1</t>
  </si>
  <si>
    <t>M101_E2</t>
  </si>
  <si>
    <t>M102_E1</t>
  </si>
  <si>
    <t>M102_E2</t>
  </si>
  <si>
    <t>M104_E1</t>
  </si>
  <si>
    <t>M104_E2</t>
  </si>
  <si>
    <t>Goles Anotados 1a Fase</t>
  </si>
  <si>
    <t>DIECISEISAVOS DE FINAL · 2 PUNTOS POR EQUIPO CLASIFICADO</t>
  </si>
  <si>
    <t>OCTAVOS DE FINAL · 3 PUNTOS POR EQUIPO CLASIFICADO</t>
  </si>
  <si>
    <t>CUARTOS DE FINAL · 3 PUNTOS POR EQUIPO CLASIFICADO</t>
  </si>
  <si>
    <t>SEMIFINALES · 4 PUNTOS POR EQUIPO CLASIFICADO</t>
  </si>
  <si>
    <t>FINAL · 5 PUNTOS POR EQUIPO CLASIFICADO</t>
  </si>
  <si>
    <t>CAMPEÓN</t>
  </si>
  <si>
    <t>ESPECIAL · 5 PUNTOS POR ACIERTO EXACTO</t>
  </si>
  <si>
    <t>GANADOR</t>
  </si>
  <si>
    <t>1 PUNTO POR EQUIPO GANADOR Y 2 ADICIONALES POR MARCADOR EXACTO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</si>
</sst>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FFFFFF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FFFF"/>
      <name val="Calibri"/>
      <family val="2"/>
    </font>
    <font>
      <b/>
      <sz val="10"/>
      <name val="Calibri"/>
      <family val="2"/>
    </font>
    <font>
      <sz val="10"/>
      <color rgb="FF000000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</font>
    <font>
      <sz val="1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name val="Arial"/>
      <family val="2"/>
    </font>
    <font>
      <b/>
      <sz val="11"/>
      <color theme="0"/>
      <name val="Calibri"/>
      <family val="2"/>
    </font>
    <font>
      <b/>
      <sz val="10"/>
      <color theme="1"/>
      <name val="Calibri"/>
      <family val="2"/>
      <scheme val="minor"/>
    </font>
    <font>
      <b/>
      <sz val="24"/>
      <color theme="3"/>
      <name val="Tahoma"/>
      <family val="2"/>
    </font>
    <font>
      <b/>
      <sz val="28"/>
      <color rgb="FF00206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7A92E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E7E6E6"/>
      </patternFill>
    </fill>
    <fill>
      <patternFill patternType="solid">
        <fgColor rgb="FFDDEBF7"/>
      </patternFill>
    </fill>
    <fill>
      <patternFill patternType="solid">
        <fgColor rgb="FF548235"/>
      </patternFill>
    </fill>
    <fill>
      <patternFill patternType="solid">
        <fgColor rgb="FFD9EAD3"/>
      </patternFill>
    </fill>
    <fill>
      <patternFill patternType="solid">
        <fgColor theme="0"/>
        <bgColor indexed="64"/>
      </patternFill>
    </fill>
    <fill>
      <patternFill patternType="solid">
        <fgColor rgb="FF368A4E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22522A"/>
        <bgColor indexed="64"/>
      </patternFill>
    </fill>
    <fill>
      <patternFill patternType="solid">
        <fgColor theme="0" tint="-0.249977111117893"/>
        <bgColor indexed="64"/>
      </patternFill>
    </fill>
  </fills>
  <borders count="50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/>
      <right/>
      <top/>
      <bottom style="thin">
        <color rgb="FF99999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rgb="FF999999"/>
      </left>
      <right/>
      <top style="medium">
        <color rgb="FF1F4E78"/>
      </top>
      <bottom style="thin">
        <color rgb="FF999999"/>
      </bottom>
      <diagonal/>
    </border>
    <border>
      <left/>
      <right style="medium">
        <color indexed="64"/>
      </right>
      <top style="thin">
        <color rgb="FF999999"/>
      </top>
      <bottom style="thin">
        <color rgb="FF999999"/>
      </bottom>
      <diagonal/>
    </border>
    <border>
      <left/>
      <right style="medium">
        <color indexed="64"/>
      </right>
      <top style="medium">
        <color rgb="FF1F4E78"/>
      </top>
      <bottom style="thin">
        <color rgb="FF99999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  <border>
      <left style="thin">
        <color rgb="FF999999"/>
      </left>
      <right/>
      <top/>
      <bottom style="thin">
        <color rgb="FF999999"/>
      </bottom>
      <diagonal/>
    </border>
    <border>
      <left/>
      <right style="medium">
        <color indexed="64"/>
      </right>
      <top/>
      <bottom style="thin">
        <color rgb="FF999999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999999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 style="thin">
        <color rgb="FF999999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999999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999999"/>
      </right>
      <top/>
      <bottom style="thin">
        <color rgb="FF999999"/>
      </bottom>
      <diagonal/>
    </border>
    <border>
      <left style="thin">
        <color rgb="FF999999"/>
      </left>
      <right style="medium">
        <color indexed="64"/>
      </right>
      <top/>
      <bottom style="thin">
        <color rgb="FF999999"/>
      </bottom>
      <diagonal/>
    </border>
    <border>
      <left style="medium">
        <color indexed="64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medium">
        <color indexed="64"/>
      </right>
      <top style="thin">
        <color rgb="FF999999"/>
      </top>
      <bottom style="thin">
        <color rgb="FF99999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999999"/>
      </right>
      <top/>
      <bottom style="medium">
        <color indexed="64"/>
      </bottom>
      <diagonal/>
    </border>
    <border>
      <left style="thin">
        <color rgb="FF999999"/>
      </left>
      <right style="thin">
        <color rgb="FF999999"/>
      </right>
      <top/>
      <bottom style="medium">
        <color indexed="64"/>
      </bottom>
      <diagonal/>
    </border>
    <border>
      <left style="thin">
        <color rgb="FF999999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999999"/>
      </left>
      <right/>
      <top style="medium">
        <color auto="1"/>
      </top>
      <bottom style="thin">
        <color rgb="FF999999"/>
      </bottom>
      <diagonal/>
    </border>
    <border>
      <left/>
      <right style="medium">
        <color indexed="64"/>
      </right>
      <top style="medium">
        <color auto="1"/>
      </top>
      <bottom style="thin">
        <color rgb="FF999999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3">
    <xf numFmtId="0" fontId="0" fillId="0" borderId="0"/>
    <xf numFmtId="0" fontId="12" fillId="0" borderId="3" applyNumberFormat="0" applyFill="0" applyBorder="0" applyAlignment="0" applyProtection="0"/>
    <xf numFmtId="0" fontId="9" fillId="0" borderId="3"/>
  </cellStyleXfs>
  <cellXfs count="143">
    <xf numFmtId="0" fontId="0" fillId="0" borderId="0" xfId="0"/>
    <xf numFmtId="0" fontId="0" fillId="0" borderId="1" xfId="0" applyBorder="1"/>
    <xf numFmtId="0" fontId="1" fillId="3" borderId="1" xfId="0" applyFont="1" applyFill="1" applyBorder="1"/>
    <xf numFmtId="0" fontId="1" fillId="6" borderId="1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7" borderId="4" xfId="0" applyFill="1" applyBorder="1" applyAlignment="1">
      <alignment horizontal="left" vertical="center" wrapText="1"/>
    </xf>
    <xf numFmtId="0" fontId="3" fillId="7" borderId="4" xfId="0" applyFont="1" applyFill="1" applyBorder="1" applyAlignment="1">
      <alignment horizontal="left" vertical="center" wrapText="1"/>
    </xf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15" xfId="0" applyBorder="1"/>
    <xf numFmtId="0" fontId="0" fillId="0" borderId="6" xfId="0" applyBorder="1" applyAlignment="1">
      <alignment horizontal="center"/>
    </xf>
    <xf numFmtId="0" fontId="0" fillId="0" borderId="6" xfId="0" applyBorder="1"/>
    <xf numFmtId="0" fontId="8" fillId="0" borderId="6" xfId="0" applyFont="1" applyBorder="1"/>
    <xf numFmtId="0" fontId="0" fillId="0" borderId="6" xfId="0" applyBorder="1" applyAlignment="1">
      <alignment horizontal="center" vertical="center"/>
    </xf>
    <xf numFmtId="0" fontId="4" fillId="4" borderId="6" xfId="0" applyFont="1" applyFill="1" applyBorder="1" applyAlignment="1" applyProtection="1">
      <alignment horizontal="center" vertical="center"/>
      <protection locked="0"/>
    </xf>
    <xf numFmtId="0" fontId="4" fillId="0" borderId="0" xfId="0" applyFont="1" applyProtection="1"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42" xfId="0" applyFont="1" applyBorder="1" applyProtection="1">
      <protection hidden="1"/>
    </xf>
    <xf numFmtId="0" fontId="4" fillId="0" borderId="43" xfId="0" applyFont="1" applyBorder="1" applyProtection="1">
      <protection hidden="1"/>
    </xf>
    <xf numFmtId="0" fontId="4" fillId="0" borderId="44" xfId="0" applyFont="1" applyBorder="1" applyProtection="1">
      <protection hidden="1"/>
    </xf>
    <xf numFmtId="0" fontId="4" fillId="0" borderId="45" xfId="0" applyFont="1" applyBorder="1" applyProtection="1"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0" fontId="4" fillId="0" borderId="3" xfId="0" applyFont="1" applyBorder="1" applyAlignment="1" applyProtection="1">
      <alignment horizontal="left" vertical="center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Protection="1">
      <protection hidden="1"/>
    </xf>
    <xf numFmtId="0" fontId="4" fillId="0" borderId="46" xfId="0" applyFont="1" applyBorder="1" applyProtection="1">
      <protection hidden="1"/>
    </xf>
    <xf numFmtId="0" fontId="1" fillId="0" borderId="3" xfId="0" applyFont="1" applyBorder="1" applyAlignment="1" applyProtection="1">
      <alignment horizontal="left" vertical="center"/>
      <protection hidden="1"/>
    </xf>
    <xf numFmtId="0" fontId="6" fillId="0" borderId="3" xfId="0" applyFont="1" applyBorder="1" applyAlignment="1" applyProtection="1">
      <alignment vertical="center"/>
      <protection hidden="1"/>
    </xf>
    <xf numFmtId="0" fontId="0" fillId="0" borderId="3" xfId="0" applyBorder="1" applyProtection="1">
      <protection hidden="1"/>
    </xf>
    <xf numFmtId="0" fontId="18" fillId="0" borderId="3" xfId="0" applyFont="1" applyBorder="1" applyProtection="1">
      <protection hidden="1"/>
    </xf>
    <xf numFmtId="0" fontId="10" fillId="12" borderId="22" xfId="0" applyFont="1" applyFill="1" applyBorder="1" applyAlignment="1" applyProtection="1">
      <alignment horizontal="center" vertical="center"/>
      <protection hidden="1"/>
    </xf>
    <xf numFmtId="0" fontId="10" fillId="12" borderId="23" xfId="0" applyFont="1" applyFill="1" applyBorder="1" applyAlignment="1" applyProtection="1">
      <alignment horizontal="center" vertical="center" wrapText="1"/>
      <protection hidden="1"/>
    </xf>
    <xf numFmtId="0" fontId="10" fillId="12" borderId="23" xfId="0" applyFont="1" applyFill="1" applyBorder="1" applyAlignment="1" applyProtection="1">
      <alignment horizontal="center" vertical="center"/>
      <protection hidden="1"/>
    </xf>
    <xf numFmtId="0" fontId="10" fillId="12" borderId="26" xfId="0" applyFont="1" applyFill="1" applyBorder="1" applyAlignment="1" applyProtection="1">
      <alignment horizontal="center" vertical="center"/>
      <protection hidden="1"/>
    </xf>
    <xf numFmtId="0" fontId="4" fillId="0" borderId="3" xfId="0" applyFont="1" applyBorder="1" applyAlignment="1" applyProtection="1">
      <alignment wrapText="1"/>
      <protection hidden="1"/>
    </xf>
    <xf numFmtId="0" fontId="10" fillId="10" borderId="6" xfId="0" applyFont="1" applyFill="1" applyBorder="1" applyAlignment="1" applyProtection="1">
      <alignment horizontal="center" vertical="center"/>
      <protection hidden="1"/>
    </xf>
    <xf numFmtId="0" fontId="11" fillId="13" borderId="6" xfId="0" applyFont="1" applyFill="1" applyBorder="1" applyAlignment="1" applyProtection="1">
      <alignment horizontal="left" vertical="center" wrapText="1"/>
      <protection hidden="1"/>
    </xf>
    <xf numFmtId="0" fontId="4" fillId="0" borderId="6" xfId="0" applyFont="1" applyBorder="1" applyAlignment="1" applyProtection="1">
      <alignment horizontal="left" vertical="center"/>
      <protection hidden="1"/>
    </xf>
    <xf numFmtId="0" fontId="11" fillId="13" borderId="6" xfId="0" applyFont="1" applyFill="1" applyBorder="1" applyAlignment="1" applyProtection="1">
      <alignment horizontal="center" vertical="center" wrapText="1"/>
      <protection hidden="1"/>
    </xf>
    <xf numFmtId="0" fontId="10" fillId="10" borderId="32" xfId="0" applyFont="1" applyFill="1" applyBorder="1" applyAlignment="1" applyProtection="1">
      <alignment horizontal="center" vertical="center" wrapText="1"/>
      <protection hidden="1"/>
    </xf>
    <xf numFmtId="0" fontId="10" fillId="10" borderId="33" xfId="0" applyFont="1" applyFill="1" applyBorder="1" applyAlignment="1" applyProtection="1">
      <alignment horizontal="center" vertical="center"/>
      <protection hidden="1"/>
    </xf>
    <xf numFmtId="0" fontId="10" fillId="10" borderId="34" xfId="0" applyFont="1" applyFill="1" applyBorder="1" applyAlignment="1" applyProtection="1">
      <alignment horizontal="center" vertical="center"/>
      <protection hidden="1"/>
    </xf>
    <xf numFmtId="0" fontId="11" fillId="13" borderId="28" xfId="0" applyFont="1" applyFill="1" applyBorder="1" applyAlignment="1" applyProtection="1">
      <alignment horizontal="center" vertical="center" wrapText="1"/>
      <protection hidden="1"/>
    </xf>
    <xf numFmtId="0" fontId="11" fillId="13" borderId="16" xfId="0" applyFont="1" applyFill="1" applyBorder="1" applyAlignment="1" applyProtection="1">
      <alignment horizontal="left" vertical="center" wrapText="1"/>
      <protection hidden="1"/>
    </xf>
    <xf numFmtId="0" fontId="11" fillId="13" borderId="16" xfId="0" applyFont="1" applyFill="1" applyBorder="1" applyAlignment="1" applyProtection="1">
      <alignment horizontal="center" vertical="center" wrapText="1"/>
      <protection hidden="1"/>
    </xf>
    <xf numFmtId="0" fontId="11" fillId="13" borderId="29" xfId="0" applyFont="1" applyFill="1" applyBorder="1" applyAlignment="1" applyProtection="1">
      <alignment horizontal="center" vertical="center" wrapText="1"/>
      <protection hidden="1"/>
    </xf>
    <xf numFmtId="0" fontId="11" fillId="13" borderId="30" xfId="0" applyFont="1" applyFill="1" applyBorder="1" applyAlignment="1" applyProtection="1">
      <alignment horizontal="center" vertical="center" wrapText="1"/>
      <protection hidden="1"/>
    </xf>
    <xf numFmtId="0" fontId="11" fillId="13" borderId="1" xfId="0" applyFont="1" applyFill="1" applyBorder="1" applyAlignment="1" applyProtection="1">
      <alignment horizontal="left" vertical="center" wrapText="1"/>
      <protection hidden="1"/>
    </xf>
    <xf numFmtId="0" fontId="11" fillId="13" borderId="1" xfId="0" applyFont="1" applyFill="1" applyBorder="1" applyAlignment="1" applyProtection="1">
      <alignment horizontal="center" vertical="center" wrapText="1"/>
      <protection hidden="1"/>
    </xf>
    <xf numFmtId="0" fontId="11" fillId="13" borderId="31" xfId="0" applyFont="1" applyFill="1" applyBorder="1" applyAlignment="1" applyProtection="1">
      <alignment horizontal="center" vertical="center" wrapText="1"/>
      <protection hidden="1"/>
    </xf>
    <xf numFmtId="0" fontId="11" fillId="13" borderId="35" xfId="0" applyFont="1" applyFill="1" applyBorder="1" applyAlignment="1" applyProtection="1">
      <alignment horizontal="center" vertical="center" wrapText="1"/>
      <protection hidden="1"/>
    </xf>
    <xf numFmtId="0" fontId="11" fillId="13" borderId="36" xfId="0" applyFont="1" applyFill="1" applyBorder="1" applyAlignment="1" applyProtection="1">
      <alignment horizontal="left" vertical="center" wrapText="1"/>
      <protection hidden="1"/>
    </xf>
    <xf numFmtId="0" fontId="11" fillId="13" borderId="36" xfId="0" applyFont="1" applyFill="1" applyBorder="1" applyAlignment="1" applyProtection="1">
      <alignment horizontal="center" vertical="center" wrapText="1"/>
      <protection hidden="1"/>
    </xf>
    <xf numFmtId="0" fontId="11" fillId="13" borderId="37" xfId="0" applyFont="1" applyFill="1" applyBorder="1" applyAlignment="1" applyProtection="1">
      <alignment horizontal="center" vertical="center" wrapText="1"/>
      <protection hidden="1"/>
    </xf>
    <xf numFmtId="0" fontId="6" fillId="3" borderId="6" xfId="0" applyFont="1" applyFill="1" applyBorder="1" applyAlignment="1" applyProtection="1">
      <alignment horizontal="center" vertical="center"/>
      <protection hidden="1"/>
    </xf>
    <xf numFmtId="0" fontId="6" fillId="3" borderId="6" xfId="0" applyFont="1" applyFill="1" applyBorder="1" applyAlignment="1" applyProtection="1">
      <alignment horizontal="center" vertical="center" wrapText="1"/>
      <protection hidden="1"/>
    </xf>
    <xf numFmtId="0" fontId="10" fillId="10" borderId="32" xfId="0" applyFont="1" applyFill="1" applyBorder="1" applyAlignment="1" applyProtection="1">
      <alignment horizontal="center" vertical="center"/>
      <protection hidden="1"/>
    </xf>
    <xf numFmtId="0" fontId="11" fillId="13" borderId="28" xfId="0" applyFont="1" applyFill="1" applyBorder="1" applyAlignment="1" applyProtection="1">
      <alignment horizontal="center" vertical="center"/>
      <protection hidden="1"/>
    </xf>
    <xf numFmtId="0" fontId="11" fillId="13" borderId="16" xfId="0" applyFont="1" applyFill="1" applyBorder="1" applyAlignment="1" applyProtection="1">
      <alignment horizontal="left" vertical="center"/>
      <protection hidden="1"/>
    </xf>
    <xf numFmtId="0" fontId="11" fillId="13" borderId="16" xfId="0" applyFont="1" applyFill="1" applyBorder="1" applyAlignment="1" applyProtection="1">
      <alignment horizontal="center" vertical="center"/>
      <protection hidden="1"/>
    </xf>
    <xf numFmtId="0" fontId="11" fillId="13" borderId="29" xfId="0" applyFont="1" applyFill="1" applyBorder="1" applyAlignment="1" applyProtection="1">
      <alignment horizontal="center" vertical="center"/>
      <protection hidden="1"/>
    </xf>
    <xf numFmtId="0" fontId="11" fillId="13" borderId="30" xfId="0" applyFont="1" applyFill="1" applyBorder="1" applyAlignment="1" applyProtection="1">
      <alignment horizontal="center" vertical="center"/>
      <protection hidden="1"/>
    </xf>
    <xf numFmtId="0" fontId="11" fillId="13" borderId="1" xfId="0" applyFont="1" applyFill="1" applyBorder="1" applyAlignment="1" applyProtection="1">
      <alignment horizontal="left" vertical="center"/>
      <protection hidden="1"/>
    </xf>
    <xf numFmtId="0" fontId="11" fillId="13" borderId="1" xfId="0" applyFont="1" applyFill="1" applyBorder="1" applyAlignment="1" applyProtection="1">
      <alignment horizontal="center" vertical="center"/>
      <protection hidden="1"/>
    </xf>
    <xf numFmtId="0" fontId="11" fillId="13" borderId="31" xfId="0" applyFont="1" applyFill="1" applyBorder="1" applyAlignment="1" applyProtection="1">
      <alignment horizontal="center" vertical="center"/>
      <protection hidden="1"/>
    </xf>
    <xf numFmtId="0" fontId="11" fillId="13" borderId="35" xfId="0" applyFont="1" applyFill="1" applyBorder="1" applyAlignment="1" applyProtection="1">
      <alignment horizontal="center" vertical="center"/>
      <protection hidden="1"/>
    </xf>
    <xf numFmtId="0" fontId="11" fillId="13" borderId="36" xfId="0" applyFont="1" applyFill="1" applyBorder="1" applyAlignment="1" applyProtection="1">
      <alignment horizontal="left" vertical="center"/>
      <protection hidden="1"/>
    </xf>
    <xf numFmtId="0" fontId="11" fillId="13" borderId="36" xfId="0" applyFont="1" applyFill="1" applyBorder="1" applyAlignment="1" applyProtection="1">
      <alignment horizontal="center" vertical="center"/>
      <protection hidden="1"/>
    </xf>
    <xf numFmtId="0" fontId="11" fillId="13" borderId="37" xfId="0" applyFont="1" applyFill="1" applyBorder="1" applyAlignment="1" applyProtection="1">
      <alignment horizontal="center" vertical="center"/>
      <protection hidden="1"/>
    </xf>
    <xf numFmtId="0" fontId="10" fillId="10" borderId="3" xfId="0" applyFont="1" applyFill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left" vertical="center"/>
      <protection hidden="1"/>
    </xf>
    <xf numFmtId="0" fontId="7" fillId="0" borderId="3" xfId="0" applyFont="1" applyBorder="1" applyAlignment="1" applyProtection="1">
      <alignment horizontal="left" vertical="center" wrapText="1"/>
      <protection hidden="1"/>
    </xf>
    <xf numFmtId="0" fontId="5" fillId="0" borderId="3" xfId="0" applyFont="1" applyBorder="1" applyAlignment="1" applyProtection="1">
      <alignment vertical="center"/>
      <protection hidden="1"/>
    </xf>
    <xf numFmtId="0" fontId="12" fillId="0" borderId="3" xfId="1" applyBorder="1" applyProtection="1">
      <protection hidden="1"/>
    </xf>
    <xf numFmtId="0" fontId="4" fillId="0" borderId="4" xfId="0" applyFont="1" applyBorder="1" applyAlignment="1" applyProtection="1">
      <alignment horizontal="left" vertical="center"/>
      <protection hidden="1"/>
    </xf>
    <xf numFmtId="0" fontId="6" fillId="13" borderId="16" xfId="0" applyFont="1" applyFill="1" applyBorder="1" applyAlignment="1" applyProtection="1">
      <alignment horizontal="center" vertical="center"/>
      <protection hidden="1"/>
    </xf>
    <xf numFmtId="0" fontId="15" fillId="13" borderId="16" xfId="0" applyFont="1" applyFill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4" fillId="0" borderId="47" xfId="0" applyFont="1" applyBorder="1" applyProtection="1">
      <protection hidden="1"/>
    </xf>
    <xf numFmtId="0" fontId="4" fillId="0" borderId="48" xfId="0" applyFont="1" applyBorder="1" applyAlignment="1" applyProtection="1">
      <alignment horizontal="center" vertical="center"/>
      <protection hidden="1"/>
    </xf>
    <xf numFmtId="0" fontId="4" fillId="0" borderId="48" xfId="0" applyFont="1" applyBorder="1" applyAlignment="1" applyProtection="1">
      <alignment horizontal="left" vertical="center"/>
      <protection hidden="1"/>
    </xf>
    <xf numFmtId="0" fontId="4" fillId="0" borderId="48" xfId="0" applyFont="1" applyBorder="1" applyAlignment="1" applyProtection="1">
      <alignment wrapText="1"/>
      <protection hidden="1"/>
    </xf>
    <xf numFmtId="0" fontId="4" fillId="0" borderId="48" xfId="0" applyFont="1" applyBorder="1" applyProtection="1">
      <protection hidden="1"/>
    </xf>
    <xf numFmtId="0" fontId="4" fillId="0" borderId="49" xfId="0" applyFont="1" applyBorder="1" applyProtection="1"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wrapText="1"/>
      <protection hidden="1"/>
    </xf>
    <xf numFmtId="0" fontId="5" fillId="8" borderId="8" xfId="0" applyFont="1" applyFill="1" applyBorder="1" applyAlignment="1" applyProtection="1">
      <alignment horizontal="center" vertical="center"/>
      <protection hidden="1"/>
    </xf>
    <xf numFmtId="0" fontId="5" fillId="8" borderId="10" xfId="0" applyFont="1" applyFill="1" applyBorder="1" applyAlignment="1" applyProtection="1">
      <alignment horizontal="center" vertical="center"/>
      <protection hidden="1"/>
    </xf>
    <xf numFmtId="0" fontId="5" fillId="8" borderId="9" xfId="0" applyFont="1" applyFill="1" applyBorder="1" applyAlignment="1" applyProtection="1">
      <alignment horizontal="center" vertical="center"/>
      <protection hidden="1"/>
    </xf>
    <xf numFmtId="0" fontId="4" fillId="4" borderId="8" xfId="0" applyFont="1" applyFill="1" applyBorder="1" applyAlignment="1" applyProtection="1">
      <alignment horizontal="left" vertical="center"/>
      <protection locked="0"/>
    </xf>
    <xf numFmtId="0" fontId="4" fillId="4" borderId="9" xfId="0" applyFont="1" applyFill="1" applyBorder="1" applyAlignment="1" applyProtection="1">
      <alignment horizontal="left" vertical="center"/>
      <protection locked="0"/>
    </xf>
    <xf numFmtId="0" fontId="4" fillId="0" borderId="7" xfId="0" applyFont="1" applyBorder="1" applyAlignment="1" applyProtection="1">
      <alignment horizontal="left" vertical="center"/>
      <protection hidden="1"/>
    </xf>
    <xf numFmtId="0" fontId="4" fillId="0" borderId="12" xfId="0" applyFont="1" applyBorder="1" applyAlignment="1" applyProtection="1">
      <alignment horizontal="left" vertical="center"/>
      <protection hidden="1"/>
    </xf>
    <xf numFmtId="0" fontId="15" fillId="0" borderId="3" xfId="0" applyFont="1" applyBorder="1" applyAlignment="1" applyProtection="1">
      <alignment horizontal="left" vertical="center"/>
      <protection hidden="1"/>
    </xf>
    <xf numFmtId="0" fontId="15" fillId="0" borderId="3" xfId="0" applyFont="1" applyBorder="1" applyAlignment="1" applyProtection="1">
      <alignment horizontal="center" vertical="center"/>
      <protection hidden="1"/>
    </xf>
    <xf numFmtId="0" fontId="17" fillId="0" borderId="3" xfId="0" applyFont="1" applyBorder="1" applyAlignment="1" applyProtection="1">
      <alignment horizontal="center" vertical="center"/>
      <protection hidden="1"/>
    </xf>
    <xf numFmtId="0" fontId="20" fillId="0" borderId="3" xfId="0" applyFont="1" applyBorder="1" applyAlignment="1" applyProtection="1">
      <alignment horizontal="left" vertical="center"/>
      <protection hidden="1"/>
    </xf>
    <xf numFmtId="0" fontId="4" fillId="0" borderId="40" xfId="0" applyFont="1" applyBorder="1" applyAlignment="1" applyProtection="1">
      <alignment horizontal="left" vertical="center"/>
      <protection hidden="1"/>
    </xf>
    <xf numFmtId="0" fontId="4" fillId="0" borderId="41" xfId="0" applyFont="1" applyBorder="1" applyAlignment="1" applyProtection="1">
      <alignment horizontal="left" vertical="center"/>
      <protection hidden="1"/>
    </xf>
    <xf numFmtId="0" fontId="4" fillId="0" borderId="11" xfId="0" applyFont="1" applyBorder="1" applyAlignment="1" applyProtection="1">
      <alignment horizontal="left" vertical="center"/>
      <protection hidden="1"/>
    </xf>
    <xf numFmtId="0" fontId="4" fillId="0" borderId="13" xfId="0" applyFont="1" applyBorder="1" applyAlignment="1" applyProtection="1">
      <alignment horizontal="left" vertical="center"/>
      <protection hidden="1"/>
    </xf>
    <xf numFmtId="0" fontId="4" fillId="0" borderId="6" xfId="0" applyFont="1" applyBorder="1" applyAlignment="1" applyProtection="1">
      <alignment horizontal="left" vertical="center"/>
      <protection hidden="1"/>
    </xf>
    <xf numFmtId="0" fontId="6" fillId="3" borderId="6" xfId="0" applyFont="1" applyFill="1" applyBorder="1" applyAlignment="1" applyProtection="1">
      <alignment horizontal="center" vertical="center"/>
      <protection hidden="1"/>
    </xf>
    <xf numFmtId="0" fontId="5" fillId="8" borderId="6" xfId="0" applyFont="1" applyFill="1" applyBorder="1" applyAlignment="1" applyProtection="1">
      <alignment horizontal="center" vertical="center"/>
      <protection hidden="1"/>
    </xf>
    <xf numFmtId="0" fontId="4" fillId="0" borderId="17" xfId="0" applyFont="1" applyBorder="1" applyAlignment="1" applyProtection="1">
      <alignment horizontal="left" vertical="center"/>
      <protection hidden="1"/>
    </xf>
    <xf numFmtId="0" fontId="4" fillId="0" borderId="5" xfId="0" applyFont="1" applyBorder="1" applyAlignment="1" applyProtection="1">
      <alignment horizontal="left" vertical="center"/>
      <protection hidden="1"/>
    </xf>
    <xf numFmtId="0" fontId="4" fillId="0" borderId="18" xfId="0" applyFont="1" applyBorder="1" applyAlignment="1" applyProtection="1">
      <alignment horizontal="left" vertical="center"/>
      <protection hidden="1"/>
    </xf>
    <xf numFmtId="0" fontId="4" fillId="4" borderId="21" xfId="0" applyFont="1" applyFill="1" applyBorder="1" applyAlignment="1" applyProtection="1">
      <alignment horizontal="left" vertical="center"/>
      <protection locked="0"/>
    </xf>
    <xf numFmtId="0" fontId="4" fillId="4" borderId="20" xfId="0" applyFont="1" applyFill="1" applyBorder="1" applyAlignment="1" applyProtection="1">
      <alignment horizontal="left" vertical="center"/>
      <protection locked="0"/>
    </xf>
    <xf numFmtId="0" fontId="14" fillId="11" borderId="8" xfId="0" applyFont="1" applyFill="1" applyBorder="1" applyAlignment="1" applyProtection="1">
      <alignment horizontal="center" vertical="center"/>
      <protection hidden="1"/>
    </xf>
    <xf numFmtId="0" fontId="14" fillId="11" borderId="10" xfId="0" applyFont="1" applyFill="1" applyBorder="1" applyAlignment="1" applyProtection="1">
      <alignment horizontal="center" vertical="center"/>
      <protection hidden="1"/>
    </xf>
    <xf numFmtId="0" fontId="14" fillId="11" borderId="9" xfId="0" applyFont="1" applyFill="1" applyBorder="1" applyAlignment="1" applyProtection="1">
      <alignment horizontal="center" vertical="center"/>
      <protection hidden="1"/>
    </xf>
    <xf numFmtId="0" fontId="4" fillId="0" borderId="2" xfId="0" applyFont="1" applyBorder="1" applyAlignment="1" applyProtection="1">
      <alignment horizontal="left" vertical="center"/>
      <protection hidden="1"/>
    </xf>
    <xf numFmtId="0" fontId="4" fillId="4" borderId="14" xfId="0" applyFont="1" applyFill="1" applyBorder="1" applyAlignment="1" applyProtection="1">
      <alignment horizontal="left" vertical="center"/>
      <protection locked="0"/>
    </xf>
    <xf numFmtId="0" fontId="0" fillId="0" borderId="9" xfId="0" applyBorder="1" applyProtection="1">
      <protection locked="0"/>
    </xf>
    <xf numFmtId="0" fontId="4" fillId="4" borderId="19" xfId="0" applyFont="1" applyFill="1" applyBorder="1" applyAlignment="1" applyProtection="1">
      <alignment horizontal="left" vertical="center"/>
      <protection locked="0"/>
    </xf>
    <xf numFmtId="0" fontId="0" fillId="0" borderId="20" xfId="0" applyBorder="1" applyProtection="1">
      <protection locked="0"/>
    </xf>
    <xf numFmtId="0" fontId="10" fillId="12" borderId="24" xfId="0" applyFont="1" applyFill="1" applyBorder="1" applyAlignment="1" applyProtection="1">
      <alignment horizontal="center" vertical="center"/>
      <protection hidden="1"/>
    </xf>
    <xf numFmtId="0" fontId="10" fillId="12" borderId="25" xfId="0" applyFont="1" applyFill="1" applyBorder="1" applyAlignment="1" applyProtection="1">
      <alignment horizontal="center" vertical="center"/>
      <protection hidden="1"/>
    </xf>
    <xf numFmtId="0" fontId="5" fillId="8" borderId="3" xfId="0" applyFont="1" applyFill="1" applyBorder="1" applyAlignment="1" applyProtection="1">
      <alignment horizontal="center" vertical="center"/>
      <protection hidden="1"/>
    </xf>
    <xf numFmtId="0" fontId="16" fillId="0" borderId="43" xfId="0" applyFont="1" applyBorder="1" applyAlignment="1" applyProtection="1">
      <alignment horizontal="center" vertical="center"/>
      <protection hidden="1"/>
    </xf>
    <xf numFmtId="0" fontId="13" fillId="7" borderId="38" xfId="1" applyFont="1" applyFill="1" applyBorder="1" applyAlignment="1" applyProtection="1">
      <alignment horizontal="center" vertical="center"/>
      <protection hidden="1"/>
    </xf>
    <xf numFmtId="0" fontId="13" fillId="7" borderId="39" xfId="1" applyFont="1" applyFill="1" applyBorder="1" applyAlignment="1" applyProtection="1">
      <alignment horizontal="center" vertical="center"/>
      <protection hidden="1"/>
    </xf>
    <xf numFmtId="0" fontId="13" fillId="7" borderId="27" xfId="1" applyFont="1" applyFill="1" applyBorder="1" applyAlignment="1" applyProtection="1">
      <alignment horizontal="center" vertical="center"/>
      <protection hidden="1"/>
    </xf>
    <xf numFmtId="1" fontId="21" fillId="9" borderId="38" xfId="2" applyNumberFormat="1" applyFont="1" applyFill="1" applyBorder="1" applyAlignment="1" applyProtection="1">
      <alignment horizontal="center" vertical="center"/>
      <protection locked="0"/>
    </xf>
    <xf numFmtId="1" fontId="21" fillId="9" borderId="39" xfId="2" applyNumberFormat="1" applyFont="1" applyFill="1" applyBorder="1" applyAlignment="1" applyProtection="1">
      <alignment horizontal="center" vertical="center"/>
      <protection locked="0"/>
    </xf>
    <xf numFmtId="1" fontId="21" fillId="9" borderId="27" xfId="2" applyNumberFormat="1" applyFont="1" applyFill="1" applyBorder="1" applyAlignment="1" applyProtection="1">
      <alignment horizontal="center" vertical="center"/>
      <protection locked="0"/>
    </xf>
    <xf numFmtId="1" fontId="12" fillId="9" borderId="38" xfId="1" applyNumberFormat="1" applyFill="1" applyBorder="1" applyAlignment="1" applyProtection="1">
      <alignment horizontal="center" vertical="center"/>
      <protection locked="0"/>
    </xf>
    <xf numFmtId="1" fontId="12" fillId="9" borderId="39" xfId="1" applyNumberFormat="1" applyFill="1" applyBorder="1" applyAlignment="1" applyProtection="1">
      <alignment horizontal="center" vertical="center"/>
      <protection locked="0"/>
    </xf>
    <xf numFmtId="1" fontId="12" fillId="9" borderId="27" xfId="1" applyNumberFormat="1" applyFill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/>
      <protection hidden="1"/>
    </xf>
    <xf numFmtId="0" fontId="2" fillId="2" borderId="0" xfId="0" applyFont="1" applyFill="1" applyAlignment="1">
      <alignment horizontal="center"/>
    </xf>
    <xf numFmtId="0" fontId="0" fillId="0" borderId="0" xfId="0"/>
    <xf numFmtId="0" fontId="2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0" fillId="0" borderId="3" xfId="0" applyBorder="1"/>
    <xf numFmtId="0" fontId="2" fillId="5" borderId="0" xfId="0" applyFont="1" applyFill="1" applyAlignment="1">
      <alignment horizontal="center" vertical="center"/>
    </xf>
  </cellXfs>
  <cellStyles count="3">
    <cellStyle name="Hipervínculo" xfId="1" builtinId="8"/>
    <cellStyle name="Normal" xfId="0" builtinId="0"/>
    <cellStyle name="Normal 2" xfId="2" xr:uid="{EC62D366-4BC3-49BE-9E1A-6725CCC0214D}"/>
  </cellStyles>
  <dxfs count="9">
    <dxf>
      <fill>
        <patternFill>
          <bgColor rgb="FFFFAFAF"/>
        </patternFill>
      </fill>
    </dxf>
    <dxf>
      <fill>
        <patternFill>
          <bgColor rgb="FFB3E0B2"/>
        </patternFill>
      </fill>
    </dxf>
    <dxf>
      <fill>
        <patternFill>
          <bgColor rgb="FFB3E0B2"/>
        </patternFill>
      </fill>
      <border>
        <left style="thin">
          <color rgb="FF368A4E"/>
        </left>
        <right style="thin">
          <color rgb="FF368A4E"/>
        </right>
        <top style="thin">
          <color rgb="FF368A4E"/>
        </top>
        <bottom style="thin">
          <color rgb="FF368A4E"/>
        </bottom>
        <vertical/>
        <horizontal/>
      </border>
    </dxf>
    <dxf>
      <font>
        <u val="none"/>
        <color auto="1"/>
      </font>
      <fill>
        <patternFill>
          <bgColor rgb="FFFFAFAF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color auto="1"/>
      </font>
      <numFmt numFmtId="0" formatCode="General"/>
      <fill>
        <patternFill>
          <bgColor rgb="FFFFC7CE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theme="0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C7CE"/>
      <color rgb="FF07A92E"/>
      <color rgb="FFFFAFAF"/>
      <color rgb="FFB3E0B2"/>
      <color rgb="FF9EDAB1"/>
      <color rgb="FF88D29F"/>
      <color rgb="FFD0CECE"/>
      <color rgb="FFA0D99F"/>
      <color rgb="FF8BD189"/>
      <color rgb="FF03B12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9.png"/><Relationship Id="rId18" Type="http://schemas.openxmlformats.org/officeDocument/2006/relationships/image" Target="../media/image14.png"/><Relationship Id="rId26" Type="http://schemas.openxmlformats.org/officeDocument/2006/relationships/image" Target="../media/image22.png"/><Relationship Id="rId39" Type="http://schemas.openxmlformats.org/officeDocument/2006/relationships/image" Target="../media/image35.png"/><Relationship Id="rId21" Type="http://schemas.openxmlformats.org/officeDocument/2006/relationships/image" Target="../media/image17.png"/><Relationship Id="rId34" Type="http://schemas.openxmlformats.org/officeDocument/2006/relationships/image" Target="../media/image30.png"/><Relationship Id="rId42" Type="http://schemas.openxmlformats.org/officeDocument/2006/relationships/image" Target="../media/image38.png"/><Relationship Id="rId47" Type="http://schemas.openxmlformats.org/officeDocument/2006/relationships/image" Target="../media/image43.png"/><Relationship Id="rId50" Type="http://schemas.openxmlformats.org/officeDocument/2006/relationships/image" Target="../media/image46.png"/><Relationship Id="rId55" Type="http://schemas.openxmlformats.org/officeDocument/2006/relationships/image" Target="../media/image51.png"/><Relationship Id="rId7" Type="http://schemas.openxmlformats.org/officeDocument/2006/relationships/hyperlink" Target="http://www.instagram.com/quinielaconcausa" TargetMode="External"/><Relationship Id="rId2" Type="http://schemas.openxmlformats.org/officeDocument/2006/relationships/image" Target="../media/image2.png"/><Relationship Id="rId16" Type="http://schemas.openxmlformats.org/officeDocument/2006/relationships/image" Target="../media/image12.png"/><Relationship Id="rId29" Type="http://schemas.openxmlformats.org/officeDocument/2006/relationships/image" Target="../media/image25.png"/><Relationship Id="rId11" Type="http://schemas.openxmlformats.org/officeDocument/2006/relationships/image" Target="../media/image7.png"/><Relationship Id="rId24" Type="http://schemas.openxmlformats.org/officeDocument/2006/relationships/image" Target="../media/image20.png"/><Relationship Id="rId32" Type="http://schemas.openxmlformats.org/officeDocument/2006/relationships/image" Target="../media/image28.png"/><Relationship Id="rId37" Type="http://schemas.openxmlformats.org/officeDocument/2006/relationships/image" Target="../media/image33.png"/><Relationship Id="rId40" Type="http://schemas.openxmlformats.org/officeDocument/2006/relationships/image" Target="../media/image36.png"/><Relationship Id="rId45" Type="http://schemas.openxmlformats.org/officeDocument/2006/relationships/image" Target="../media/image41.png"/><Relationship Id="rId53" Type="http://schemas.openxmlformats.org/officeDocument/2006/relationships/image" Target="../media/image49.png"/><Relationship Id="rId58" Type="http://schemas.openxmlformats.org/officeDocument/2006/relationships/image" Target="../media/image54.png"/><Relationship Id="rId5" Type="http://schemas.openxmlformats.org/officeDocument/2006/relationships/hyperlink" Target="https://www.facebook.com/profile.php?id=100087154503937" TargetMode="External"/><Relationship Id="rId61" Type="http://schemas.openxmlformats.org/officeDocument/2006/relationships/image" Target="../media/image57.png"/><Relationship Id="rId19" Type="http://schemas.openxmlformats.org/officeDocument/2006/relationships/image" Target="../media/image15.png"/><Relationship Id="rId14" Type="http://schemas.openxmlformats.org/officeDocument/2006/relationships/image" Target="../media/image10.png"/><Relationship Id="rId22" Type="http://schemas.openxmlformats.org/officeDocument/2006/relationships/image" Target="../media/image18.png"/><Relationship Id="rId27" Type="http://schemas.openxmlformats.org/officeDocument/2006/relationships/image" Target="../media/image23.png"/><Relationship Id="rId30" Type="http://schemas.openxmlformats.org/officeDocument/2006/relationships/image" Target="../media/image26.png"/><Relationship Id="rId35" Type="http://schemas.openxmlformats.org/officeDocument/2006/relationships/image" Target="../media/image31.png"/><Relationship Id="rId43" Type="http://schemas.openxmlformats.org/officeDocument/2006/relationships/image" Target="../media/image39.png"/><Relationship Id="rId48" Type="http://schemas.openxmlformats.org/officeDocument/2006/relationships/image" Target="../media/image44.png"/><Relationship Id="rId56" Type="http://schemas.openxmlformats.org/officeDocument/2006/relationships/image" Target="../media/image52.png"/><Relationship Id="rId8" Type="http://schemas.openxmlformats.org/officeDocument/2006/relationships/image" Target="../media/image4.png"/><Relationship Id="rId51" Type="http://schemas.openxmlformats.org/officeDocument/2006/relationships/image" Target="../media/image47.png"/><Relationship Id="rId3" Type="http://schemas.openxmlformats.org/officeDocument/2006/relationships/hyperlink" Target="mailto:quinielaconcausa@gmail.com" TargetMode="External"/><Relationship Id="rId12" Type="http://schemas.openxmlformats.org/officeDocument/2006/relationships/image" Target="../media/image8.png"/><Relationship Id="rId17" Type="http://schemas.openxmlformats.org/officeDocument/2006/relationships/image" Target="../media/image13.png"/><Relationship Id="rId25" Type="http://schemas.openxmlformats.org/officeDocument/2006/relationships/image" Target="../media/image21.png"/><Relationship Id="rId33" Type="http://schemas.openxmlformats.org/officeDocument/2006/relationships/image" Target="../media/image29.png"/><Relationship Id="rId38" Type="http://schemas.openxmlformats.org/officeDocument/2006/relationships/image" Target="../media/image34.png"/><Relationship Id="rId46" Type="http://schemas.openxmlformats.org/officeDocument/2006/relationships/image" Target="../media/image42.png"/><Relationship Id="rId59" Type="http://schemas.openxmlformats.org/officeDocument/2006/relationships/image" Target="../media/image55.png"/><Relationship Id="rId20" Type="http://schemas.openxmlformats.org/officeDocument/2006/relationships/image" Target="../media/image16.png"/><Relationship Id="rId41" Type="http://schemas.openxmlformats.org/officeDocument/2006/relationships/image" Target="../media/image37.png"/><Relationship Id="rId54" Type="http://schemas.openxmlformats.org/officeDocument/2006/relationships/image" Target="../media/image50.png"/><Relationship Id="rId62" Type="http://schemas.openxmlformats.org/officeDocument/2006/relationships/image" Target="../media/image58.png"/><Relationship Id="rId1" Type="http://schemas.openxmlformats.org/officeDocument/2006/relationships/image" Target="../media/image1.jpeg"/><Relationship Id="rId6" Type="http://schemas.openxmlformats.org/officeDocument/2006/relationships/image" Target="../media/image3.png"/><Relationship Id="rId15" Type="http://schemas.openxmlformats.org/officeDocument/2006/relationships/image" Target="../media/image11.png"/><Relationship Id="rId23" Type="http://schemas.openxmlformats.org/officeDocument/2006/relationships/image" Target="../media/image19.png"/><Relationship Id="rId28" Type="http://schemas.openxmlformats.org/officeDocument/2006/relationships/image" Target="../media/image24.png"/><Relationship Id="rId36" Type="http://schemas.openxmlformats.org/officeDocument/2006/relationships/image" Target="../media/image32.png"/><Relationship Id="rId49" Type="http://schemas.openxmlformats.org/officeDocument/2006/relationships/image" Target="../media/image45.png"/><Relationship Id="rId57" Type="http://schemas.openxmlformats.org/officeDocument/2006/relationships/image" Target="../media/image53.png"/><Relationship Id="rId10" Type="http://schemas.openxmlformats.org/officeDocument/2006/relationships/image" Target="../media/image6.png"/><Relationship Id="rId31" Type="http://schemas.openxmlformats.org/officeDocument/2006/relationships/image" Target="../media/image27.png"/><Relationship Id="rId44" Type="http://schemas.openxmlformats.org/officeDocument/2006/relationships/image" Target="../media/image40.png"/><Relationship Id="rId52" Type="http://schemas.openxmlformats.org/officeDocument/2006/relationships/image" Target="../media/image48.png"/><Relationship Id="rId60" Type="http://schemas.openxmlformats.org/officeDocument/2006/relationships/image" Target="../media/image56.png"/><Relationship Id="rId4" Type="http://schemas.openxmlformats.org/officeDocument/2006/relationships/hyperlink" Target="http://www.quinielaconcausa.com" TargetMode="External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313764</xdr:colOff>
      <xdr:row>149</xdr:row>
      <xdr:rowOff>44091</xdr:rowOff>
    </xdr:from>
    <xdr:to>
      <xdr:col>18</xdr:col>
      <xdr:colOff>777874</xdr:colOff>
      <xdr:row>165</xdr:row>
      <xdr:rowOff>84292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30FE2120-5116-4161-AC41-9C0B114B0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9264" y="23427966"/>
          <a:ext cx="4829735" cy="2627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273326</xdr:colOff>
      <xdr:row>10</xdr:row>
      <xdr:rowOff>19051</xdr:rowOff>
    </xdr:from>
    <xdr:to>
      <xdr:col>11</xdr:col>
      <xdr:colOff>592207</xdr:colOff>
      <xdr:row>12</xdr:row>
      <xdr:rowOff>114301</xdr:rowOff>
    </xdr:to>
    <xdr:sp macro="[0]!AleatorizarTodo" textlink="">
      <xdr:nvSpPr>
        <xdr:cNvPr id="23" name="Rectángulo: esquinas redondeadas 22">
          <a:extLst>
            <a:ext uri="{FF2B5EF4-FFF2-40B4-BE49-F238E27FC236}">
              <a16:creationId xmlns:a16="http://schemas.microsoft.com/office/drawing/2014/main" id="{AD9E2EB0-BF9B-3F09-0B90-8F2D6E4D7756}"/>
            </a:ext>
          </a:extLst>
        </xdr:cNvPr>
        <xdr:cNvSpPr/>
      </xdr:nvSpPr>
      <xdr:spPr>
        <a:xfrm>
          <a:off x="5880652" y="1907486"/>
          <a:ext cx="1064316" cy="426554"/>
        </a:xfrm>
        <a:prstGeom prst="roundRect">
          <a:avLst/>
        </a:prstGeom>
        <a:ln w="38100">
          <a:solidFill>
            <a:schemeClr val="bg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400" b="1"/>
            <a:t>Aleatorio</a:t>
          </a:r>
        </a:p>
      </xdr:txBody>
    </xdr:sp>
    <xdr:clientData/>
  </xdr:twoCellAnchor>
  <xdr:twoCellAnchor editAs="oneCell">
    <xdr:from>
      <xdr:col>11</xdr:col>
      <xdr:colOff>642717</xdr:colOff>
      <xdr:row>2</xdr:row>
      <xdr:rowOff>11205</xdr:rowOff>
    </xdr:from>
    <xdr:to>
      <xdr:col>14</xdr:col>
      <xdr:colOff>11206</xdr:colOff>
      <xdr:row>9</xdr:row>
      <xdr:rowOff>78736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529EB1-1069-25C2-49A2-57ABEB4BC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87805" y="437029"/>
          <a:ext cx="1161430" cy="1132089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</xdr:spPr>
    </xdr:pic>
    <xdr:clientData/>
  </xdr:twoCellAnchor>
  <xdr:twoCellAnchor>
    <xdr:from>
      <xdr:col>11</xdr:col>
      <xdr:colOff>696281</xdr:colOff>
      <xdr:row>10</xdr:row>
      <xdr:rowOff>18041</xdr:rowOff>
    </xdr:from>
    <xdr:to>
      <xdr:col>13</xdr:col>
      <xdr:colOff>310512</xdr:colOff>
      <xdr:row>12</xdr:row>
      <xdr:rowOff>113291</xdr:rowOff>
    </xdr:to>
    <xdr:sp macro="[0]!BorrarQuiniela" textlink="">
      <xdr:nvSpPr>
        <xdr:cNvPr id="5" name="Rectángulo: esquinas redondeadas 4">
          <a:extLst>
            <a:ext uri="{FF2B5EF4-FFF2-40B4-BE49-F238E27FC236}">
              <a16:creationId xmlns:a16="http://schemas.microsoft.com/office/drawing/2014/main" id="{F18ACF22-1BA9-4BA3-8636-00DBB8D061FF}"/>
            </a:ext>
          </a:extLst>
        </xdr:cNvPr>
        <xdr:cNvSpPr/>
      </xdr:nvSpPr>
      <xdr:spPr>
        <a:xfrm>
          <a:off x="7049042" y="1906476"/>
          <a:ext cx="1080253" cy="426554"/>
        </a:xfrm>
        <a:prstGeom prst="roundRect">
          <a:avLst/>
        </a:prstGeom>
        <a:solidFill>
          <a:srgbClr val="C00000"/>
        </a:solidFill>
        <a:ln w="38100">
          <a:solidFill>
            <a:schemeClr val="bg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400" b="1"/>
            <a:t>Borrar</a:t>
          </a:r>
        </a:p>
      </xdr:txBody>
    </xdr:sp>
    <xdr:clientData/>
  </xdr:twoCellAnchor>
  <xdr:twoCellAnchor>
    <xdr:from>
      <xdr:col>6</xdr:col>
      <xdr:colOff>417013</xdr:colOff>
      <xdr:row>11</xdr:row>
      <xdr:rowOff>13137</xdr:rowOff>
    </xdr:from>
    <xdr:to>
      <xdr:col>9</xdr:col>
      <xdr:colOff>175526</xdr:colOff>
      <xdr:row>11</xdr:row>
      <xdr:rowOff>151086</xdr:rowOff>
    </xdr:to>
    <xdr:sp macro="" textlink="">
      <xdr:nvSpPr>
        <xdr:cNvPr id="6" name="CuadroTexto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B12B5A7-D153-4587-ACEF-4D85FD9BD3B6}"/>
            </a:ext>
          </a:extLst>
        </xdr:cNvPr>
        <xdr:cNvSpPr txBox="1"/>
      </xdr:nvSpPr>
      <xdr:spPr>
        <a:xfrm>
          <a:off x="4220444" y="1865585"/>
          <a:ext cx="1840875" cy="1379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900" b="1" u="none">
              <a:solidFill>
                <a:srgbClr val="002060"/>
              </a:solidFill>
              <a:latin typeface="Arial" panose="020B0604020202020204" pitchFamily="34" charset="0"/>
              <a:cs typeface="Arial" panose="020B0604020202020204" pitchFamily="34" charset="0"/>
            </a:rPr>
            <a:t>quinielaconcausa@gmail.com</a:t>
          </a:r>
        </a:p>
      </xdr:txBody>
    </xdr:sp>
    <xdr:clientData/>
  </xdr:twoCellAnchor>
  <xdr:twoCellAnchor>
    <xdr:from>
      <xdr:col>9</xdr:col>
      <xdr:colOff>290794</xdr:colOff>
      <xdr:row>120</xdr:row>
      <xdr:rowOff>117101</xdr:rowOff>
    </xdr:from>
    <xdr:to>
      <xdr:col>15</xdr:col>
      <xdr:colOff>32498</xdr:colOff>
      <xdr:row>138</xdr:row>
      <xdr:rowOff>100853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3E85A3A0-0FEE-4506-8176-686958B312D4}"/>
            </a:ext>
          </a:extLst>
        </xdr:cNvPr>
        <xdr:cNvSpPr txBox="1"/>
      </xdr:nvSpPr>
      <xdr:spPr>
        <a:xfrm>
          <a:off x="6196294" y="17900836"/>
          <a:ext cx="2789704" cy="30429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6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MUCHAS GRACIAS POR PARTICIPAR!!</a:t>
          </a:r>
        </a:p>
        <a:p>
          <a:pPr algn="l"/>
          <a:endParaRPr lang="es-MX" sz="300"/>
        </a:p>
        <a:p>
          <a:pPr algn="just"/>
          <a:r>
            <a:rPr lang="es-MX" sz="1100" b="0" i="0">
              <a:solidFill>
                <a:schemeClr val="tx2"/>
              </a:solidFill>
              <a:effectLst/>
              <a:latin typeface="+mn-lt"/>
              <a:ea typeface="+mn-ea"/>
              <a:cs typeface="+mn-cs"/>
            </a:rPr>
            <a:t>El </a:t>
          </a:r>
          <a:r>
            <a:rPr lang="es-MX" sz="1100" b="1" i="0">
              <a:solidFill>
                <a:schemeClr val="tx2"/>
              </a:solidFill>
              <a:effectLst/>
              <a:latin typeface="+mn-lt"/>
              <a:ea typeface="+mn-ea"/>
              <a:cs typeface="+mn-cs"/>
            </a:rPr>
            <a:t>Club Rotario Ciudad Victoria </a:t>
          </a:r>
          <a:r>
            <a:rPr lang="es-MX" sz="1100" b="0" i="0">
              <a:solidFill>
                <a:schemeClr val="tx2"/>
              </a:solidFill>
              <a:effectLst/>
              <a:latin typeface="+mn-lt"/>
              <a:ea typeface="+mn-ea"/>
              <a:cs typeface="+mn-cs"/>
            </a:rPr>
            <a:t>y el </a:t>
          </a:r>
          <a:r>
            <a:rPr lang="es-MX" sz="1100" b="1" i="0">
              <a:solidFill>
                <a:schemeClr val="tx2"/>
              </a:solidFill>
              <a:effectLst/>
              <a:latin typeface="+mn-lt"/>
              <a:ea typeface="+mn-ea"/>
              <a:cs typeface="+mn-cs"/>
            </a:rPr>
            <a:t>Club Rotaract Ciudad Victoria </a:t>
          </a:r>
          <a:r>
            <a:rPr lang="es-MX" sz="1100" b="0" i="0">
              <a:solidFill>
                <a:schemeClr val="tx2"/>
              </a:solidFill>
              <a:effectLst/>
              <a:latin typeface="+mn-lt"/>
              <a:ea typeface="+mn-ea"/>
              <a:cs typeface="+mn-cs"/>
            </a:rPr>
            <a:t>les agradecen su participación en esta noble causa.</a:t>
          </a:r>
        </a:p>
        <a:p>
          <a:pPr algn="just"/>
          <a:br>
            <a:rPr lang="es-MX" sz="1100" b="0" i="0">
              <a:solidFill>
                <a:schemeClr val="tx2"/>
              </a:solidFill>
              <a:effectLst/>
              <a:latin typeface="+mn-lt"/>
              <a:ea typeface="+mn-ea"/>
              <a:cs typeface="+mn-cs"/>
            </a:rPr>
          </a:br>
          <a:r>
            <a:rPr lang="es-MX" sz="1100" b="0" i="0">
              <a:solidFill>
                <a:schemeClr val="tx2"/>
              </a:solidFill>
              <a:effectLst/>
              <a:latin typeface="+mn-lt"/>
              <a:ea typeface="+mn-ea"/>
              <a:cs typeface="+mn-cs"/>
            </a:rPr>
            <a:t>Tu </a:t>
          </a:r>
          <a:r>
            <a:rPr lang="es-MX" sz="1100" b="1" i="0">
              <a:solidFill>
                <a:schemeClr val="tx2"/>
              </a:solidFill>
              <a:effectLst/>
              <a:latin typeface="+mn-lt"/>
              <a:ea typeface="+mn-ea"/>
              <a:cs typeface="+mn-cs"/>
            </a:rPr>
            <a:t>DONATIVO </a:t>
          </a:r>
          <a:r>
            <a:rPr lang="es-MX" sz="1100" b="0" i="0">
              <a:solidFill>
                <a:schemeClr val="tx2"/>
              </a:solidFill>
              <a:effectLst/>
              <a:latin typeface="+mn-lt"/>
              <a:ea typeface="+mn-ea"/>
              <a:cs typeface="+mn-cs"/>
            </a:rPr>
            <a:t>será utilizado para la realización de varios proyectos en conjunto con diversas asociaciones de nuestra ciudad, es un orgullo contar contigo y que seas participe de este evento.</a:t>
          </a:r>
        </a:p>
        <a:p>
          <a:pPr algn="just"/>
          <a:r>
            <a:rPr lang="es-MX" sz="1100" b="0" i="0">
              <a:solidFill>
                <a:schemeClr val="tx2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s-MX" sz="1100" b="0" i="0">
              <a:solidFill>
                <a:schemeClr val="tx2"/>
              </a:solidFill>
              <a:effectLst/>
              <a:latin typeface="+mn-lt"/>
              <a:ea typeface="+mn-ea"/>
              <a:cs typeface="+mn-cs"/>
            </a:rPr>
          </a:br>
          <a:r>
            <a:rPr lang="es-MX" sz="1100" b="0" i="0">
              <a:solidFill>
                <a:schemeClr val="tx2"/>
              </a:solidFill>
              <a:effectLst/>
              <a:latin typeface="+mn-lt"/>
              <a:ea typeface="+mn-ea"/>
              <a:cs typeface="+mn-cs"/>
            </a:rPr>
            <a:t>Tu </a:t>
          </a:r>
          <a:r>
            <a:rPr lang="es-MX" sz="1100" b="1" i="0">
              <a:solidFill>
                <a:schemeClr val="tx2"/>
              </a:solidFill>
              <a:effectLst/>
              <a:latin typeface="+mn-lt"/>
              <a:ea typeface="+mn-ea"/>
              <a:cs typeface="+mn-cs"/>
            </a:rPr>
            <a:t>DONATIVO</a:t>
          </a:r>
          <a:r>
            <a:rPr lang="es-MX" sz="1100" b="0" i="0">
              <a:solidFill>
                <a:schemeClr val="tx2"/>
              </a:solidFill>
              <a:effectLst/>
              <a:latin typeface="+mn-lt"/>
              <a:ea typeface="+mn-ea"/>
              <a:cs typeface="+mn-cs"/>
            </a:rPr>
            <a:t> además de ayudar te permitirá divertirte y competir sanamente durante el mundial para poder ganar distintos premios. Visitanos en nuestra página.</a:t>
          </a:r>
          <a:endParaRPr lang="es-MX" sz="1100">
            <a:solidFill>
              <a:schemeClr val="tx2"/>
            </a:solidFill>
          </a:endParaRPr>
        </a:p>
      </xdr:txBody>
    </xdr:sp>
    <xdr:clientData/>
  </xdr:twoCellAnchor>
  <xdr:twoCellAnchor>
    <xdr:from>
      <xdr:col>9</xdr:col>
      <xdr:colOff>271423</xdr:colOff>
      <xdr:row>138</xdr:row>
      <xdr:rowOff>2963</xdr:rowOff>
    </xdr:from>
    <xdr:to>
      <xdr:col>15</xdr:col>
      <xdr:colOff>98612</xdr:colOff>
      <xdr:row>139</xdr:row>
      <xdr:rowOff>150056</xdr:rowOff>
    </xdr:to>
    <xdr:sp macro="" textlink="">
      <xdr:nvSpPr>
        <xdr:cNvPr id="9" name="CuadroTexto 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8173E64-1A05-4BD4-9349-45FE82D343AA}"/>
            </a:ext>
          </a:extLst>
        </xdr:cNvPr>
        <xdr:cNvSpPr txBox="1"/>
      </xdr:nvSpPr>
      <xdr:spPr>
        <a:xfrm>
          <a:off x="6176923" y="20845904"/>
          <a:ext cx="2875189" cy="3151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s-MX" sz="1700" u="sng">
              <a:solidFill>
                <a:srgbClr val="002060"/>
              </a:solidFill>
              <a:latin typeface="Arial" panose="020B0604020202020204" pitchFamily="34" charset="0"/>
              <a:cs typeface="Arial" panose="020B0604020202020204" pitchFamily="34" charset="0"/>
            </a:rPr>
            <a:t>www.quinielaconcausa.com</a:t>
          </a:r>
        </a:p>
      </xdr:txBody>
    </xdr:sp>
    <xdr:clientData/>
  </xdr:twoCellAnchor>
  <xdr:twoCellAnchor editAs="oneCell">
    <xdr:from>
      <xdr:col>11</xdr:col>
      <xdr:colOff>280271</xdr:colOff>
      <xdr:row>143</xdr:row>
      <xdr:rowOff>71886</xdr:rowOff>
    </xdr:from>
    <xdr:to>
      <xdr:col>11</xdr:col>
      <xdr:colOff>657225</xdr:colOff>
      <xdr:row>145</xdr:row>
      <xdr:rowOff>112781</xdr:rowOff>
    </xdr:to>
    <xdr:pic>
      <xdr:nvPicPr>
        <xdr:cNvPr id="13" name="Picture 2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A30B6AD-10F0-4A2A-8F17-558207C97F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9196" y="22293711"/>
          <a:ext cx="376954" cy="4123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307658</xdr:colOff>
      <xdr:row>146</xdr:row>
      <xdr:rowOff>111771</xdr:rowOff>
    </xdr:from>
    <xdr:ext cx="370178" cy="373357"/>
    <xdr:pic>
      <xdr:nvPicPr>
        <xdr:cNvPr id="14" name="Imagen 1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9F2E87A8-9D51-429A-AA71-FD7AECB2DC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6583" y="23019396"/>
          <a:ext cx="370178" cy="373357"/>
        </a:xfrm>
        <a:prstGeom prst="rect">
          <a:avLst/>
        </a:prstGeom>
      </xdr:spPr>
    </xdr:pic>
    <xdr:clientData/>
  </xdr:oneCellAnchor>
  <xdr:twoCellAnchor editAs="oneCell">
    <xdr:from>
      <xdr:col>8</xdr:col>
      <xdr:colOff>22413</xdr:colOff>
      <xdr:row>5</xdr:row>
      <xdr:rowOff>22413</xdr:rowOff>
    </xdr:from>
    <xdr:to>
      <xdr:col>11</xdr:col>
      <xdr:colOff>637701</xdr:colOff>
      <xdr:row>8</xdr:row>
      <xdr:rowOff>44824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DC7F98E-D94C-6B3A-B20C-7DDC18C968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72" r="42063"/>
        <a:stretch>
          <a:fillRect/>
        </a:stretch>
      </xdr:blipFill>
      <xdr:spPr>
        <a:xfrm>
          <a:off x="5625354" y="795619"/>
          <a:ext cx="1657435" cy="549087"/>
        </a:xfrm>
        <a:prstGeom prst="rect">
          <a:avLst/>
        </a:prstGeom>
      </xdr:spPr>
    </xdr:pic>
    <xdr:clientData/>
  </xdr:twoCellAnchor>
  <xdr:twoCellAnchor editAs="oneCell">
    <xdr:from>
      <xdr:col>1</xdr:col>
      <xdr:colOff>224116</xdr:colOff>
      <xdr:row>3</xdr:row>
      <xdr:rowOff>1</xdr:rowOff>
    </xdr:from>
    <xdr:to>
      <xdr:col>2</xdr:col>
      <xdr:colOff>927611</xdr:colOff>
      <xdr:row>12</xdr:row>
      <xdr:rowOff>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FAFCEF87-7DBD-DFFE-7624-722179BB5A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881" t="251" r="29594" b="-1"/>
        <a:stretch>
          <a:fillRect/>
        </a:stretch>
      </xdr:blipFill>
      <xdr:spPr>
        <a:xfrm>
          <a:off x="425822" y="459442"/>
          <a:ext cx="1084495" cy="1501588"/>
        </a:xfrm>
        <a:prstGeom prst="rect">
          <a:avLst/>
        </a:prstGeom>
      </xdr:spPr>
    </xdr:pic>
    <xdr:clientData/>
  </xdr:twoCellAnchor>
  <xdr:twoCellAnchor>
    <xdr:from>
      <xdr:col>9</xdr:col>
      <xdr:colOff>242795</xdr:colOff>
      <xdr:row>160</xdr:row>
      <xdr:rowOff>81243</xdr:rowOff>
    </xdr:from>
    <xdr:to>
      <xdr:col>18</xdr:col>
      <xdr:colOff>924485</xdr:colOff>
      <xdr:row>164</xdr:row>
      <xdr:rowOff>148478</xdr:rowOff>
    </xdr:to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872D0D53-731D-BAB7-0596-C398E3A20F3E}"/>
            </a:ext>
          </a:extLst>
        </xdr:cNvPr>
        <xdr:cNvSpPr txBox="1"/>
      </xdr:nvSpPr>
      <xdr:spPr>
        <a:xfrm>
          <a:off x="6148295" y="25179618"/>
          <a:ext cx="5047315" cy="7816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4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¡MUCHA SUERTE!</a:t>
          </a:r>
        </a:p>
      </xdr:txBody>
    </xdr:sp>
    <xdr:clientData/>
  </xdr:twoCellAnchor>
  <xdr:twoCellAnchor>
    <xdr:from>
      <xdr:col>14</xdr:col>
      <xdr:colOff>174625</xdr:colOff>
      <xdr:row>3</xdr:row>
      <xdr:rowOff>31750</xdr:rowOff>
    </xdr:from>
    <xdr:to>
      <xdr:col>20</xdr:col>
      <xdr:colOff>333375</xdr:colOff>
      <xdr:row>7</xdr:row>
      <xdr:rowOff>31750</xdr:rowOff>
    </xdr:to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8930B489-D422-44D0-B071-C8149699D45F}"/>
            </a:ext>
          </a:extLst>
        </xdr:cNvPr>
        <xdr:cNvSpPr txBox="1"/>
      </xdr:nvSpPr>
      <xdr:spPr>
        <a:xfrm>
          <a:off x="8620125" y="492125"/>
          <a:ext cx="3635375" cy="682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2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Patrocinadores</a:t>
          </a:r>
          <a:endParaRPr lang="es-MX" sz="4400" b="1" cap="none" spc="0">
            <a:ln w="9525">
              <a:solidFill>
                <a:schemeClr val="bg1"/>
              </a:solidFill>
              <a:prstDash val="solid"/>
            </a:ln>
            <a:solidFill>
              <a:schemeClr val="tx2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15</xdr:col>
      <xdr:colOff>205236</xdr:colOff>
      <xdr:row>4</xdr:row>
      <xdr:rowOff>178147</xdr:rowOff>
    </xdr:from>
    <xdr:to>
      <xdr:col>20</xdr:col>
      <xdr:colOff>180274</xdr:colOff>
      <xdr:row>148</xdr:row>
      <xdr:rowOff>71391</xdr:rowOff>
    </xdr:to>
    <xdr:grpSp>
      <xdr:nvGrpSpPr>
        <xdr:cNvPr id="1080" name="Grupo 1079">
          <a:extLst>
            <a:ext uri="{FF2B5EF4-FFF2-40B4-BE49-F238E27FC236}">
              <a16:creationId xmlns:a16="http://schemas.microsoft.com/office/drawing/2014/main" id="{A7A38E86-0F2D-E852-47E3-58304169F2CC}"/>
            </a:ext>
          </a:extLst>
        </xdr:cNvPr>
        <xdr:cNvGrpSpPr/>
      </xdr:nvGrpSpPr>
      <xdr:grpSpPr>
        <a:xfrm>
          <a:off x="9158736" y="810261"/>
          <a:ext cx="2953765" cy="22675312"/>
          <a:chOff x="8901001" y="816883"/>
          <a:chExt cx="2967009" cy="21924008"/>
        </a:xfrm>
      </xdr:grpSpPr>
      <xdr:pic>
        <xdr:nvPicPr>
          <xdr:cNvPr id="7" name="Imagen 6">
            <a:extLst>
              <a:ext uri="{FF2B5EF4-FFF2-40B4-BE49-F238E27FC236}">
                <a16:creationId xmlns:a16="http://schemas.microsoft.com/office/drawing/2014/main" id="{A20775EC-2F66-3365-824D-9E95AD1094E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64705" y="834971"/>
            <a:ext cx="1182980" cy="1182980"/>
          </a:xfrm>
          <a:prstGeom prst="rect">
            <a:avLst/>
          </a:prstGeom>
        </xdr:spPr>
      </xdr:pic>
      <xdr:pic>
        <xdr:nvPicPr>
          <xdr:cNvPr id="11" name="Imagen 10">
            <a:extLst>
              <a:ext uri="{FF2B5EF4-FFF2-40B4-BE49-F238E27FC236}">
                <a16:creationId xmlns:a16="http://schemas.microsoft.com/office/drawing/2014/main" id="{9B2045B7-4836-62E7-F6EE-39F5127D2D8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425795" y="816883"/>
            <a:ext cx="1182980" cy="1182980"/>
          </a:xfrm>
          <a:prstGeom prst="rect">
            <a:avLst/>
          </a:prstGeom>
        </xdr:spPr>
      </xdr:pic>
      <xdr:pic>
        <xdr:nvPicPr>
          <xdr:cNvPr id="15" name="Imagen 14">
            <a:extLst>
              <a:ext uri="{FF2B5EF4-FFF2-40B4-BE49-F238E27FC236}">
                <a16:creationId xmlns:a16="http://schemas.microsoft.com/office/drawing/2014/main" id="{F2CF40A5-C45D-6161-BAFD-38FDB755224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62148" y="1583207"/>
            <a:ext cx="1182980" cy="1182980"/>
          </a:xfrm>
          <a:prstGeom prst="rect">
            <a:avLst/>
          </a:prstGeom>
        </xdr:spPr>
      </xdr:pic>
      <xdr:pic>
        <xdr:nvPicPr>
          <xdr:cNvPr id="21" name="Imagen 20">
            <a:extLst>
              <a:ext uri="{FF2B5EF4-FFF2-40B4-BE49-F238E27FC236}">
                <a16:creationId xmlns:a16="http://schemas.microsoft.com/office/drawing/2014/main" id="{2251EBDA-060D-62A6-7739-B9756507382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456854" y="2271087"/>
            <a:ext cx="1182980" cy="1182980"/>
          </a:xfrm>
          <a:prstGeom prst="rect">
            <a:avLst/>
          </a:prstGeom>
        </xdr:spPr>
      </xdr:pic>
      <xdr:pic>
        <xdr:nvPicPr>
          <xdr:cNvPr id="24" name="Imagen 23">
            <a:extLst>
              <a:ext uri="{FF2B5EF4-FFF2-40B4-BE49-F238E27FC236}">
                <a16:creationId xmlns:a16="http://schemas.microsoft.com/office/drawing/2014/main" id="{57E46EF0-A1B9-B144-131E-661324B660B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59590" y="2253000"/>
            <a:ext cx="1182980" cy="1182980"/>
          </a:xfrm>
          <a:prstGeom prst="rect">
            <a:avLst/>
          </a:prstGeom>
        </xdr:spPr>
      </xdr:pic>
      <xdr:pic>
        <xdr:nvPicPr>
          <xdr:cNvPr id="26" name="Imagen 25">
            <a:extLst>
              <a:ext uri="{FF2B5EF4-FFF2-40B4-BE49-F238E27FC236}">
                <a16:creationId xmlns:a16="http://schemas.microsoft.com/office/drawing/2014/main" id="{3270AE06-4060-4CFA-0C5C-978FFB4FB2A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420678" y="1618589"/>
            <a:ext cx="1182980" cy="1182980"/>
          </a:xfrm>
          <a:prstGeom prst="rect">
            <a:avLst/>
          </a:prstGeom>
        </xdr:spPr>
      </xdr:pic>
      <xdr:pic>
        <xdr:nvPicPr>
          <xdr:cNvPr id="28" name="Imagen 27">
            <a:extLst>
              <a:ext uri="{FF2B5EF4-FFF2-40B4-BE49-F238E27FC236}">
                <a16:creationId xmlns:a16="http://schemas.microsoft.com/office/drawing/2014/main" id="{C5DEF741-757F-3CC1-A391-0DDF45E863C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01001" y="3359824"/>
            <a:ext cx="1182980" cy="1182980"/>
          </a:xfrm>
          <a:prstGeom prst="rect">
            <a:avLst/>
          </a:prstGeom>
        </xdr:spPr>
      </xdr:pic>
      <xdr:pic>
        <xdr:nvPicPr>
          <xdr:cNvPr id="30" name="Imagen 29">
            <a:extLst>
              <a:ext uri="{FF2B5EF4-FFF2-40B4-BE49-F238E27FC236}">
                <a16:creationId xmlns:a16="http://schemas.microsoft.com/office/drawing/2014/main" id="{6C34ACD0-0B06-1231-C523-382B039CA6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61355" y="2747825"/>
            <a:ext cx="1182980" cy="1182980"/>
          </a:xfrm>
          <a:prstGeom prst="rect">
            <a:avLst/>
          </a:prstGeom>
        </xdr:spPr>
      </xdr:pic>
      <xdr:pic>
        <xdr:nvPicPr>
          <xdr:cNvPr id="32" name="Imagen 31">
            <a:extLst>
              <a:ext uri="{FF2B5EF4-FFF2-40B4-BE49-F238E27FC236}">
                <a16:creationId xmlns:a16="http://schemas.microsoft.com/office/drawing/2014/main" id="{93ED1DB2-BF34-EF93-9967-2BD5502D56F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25956" r="4409"/>
          <a:stretch>
            <a:fillRect/>
          </a:stretch>
        </xdr:blipFill>
        <xdr:spPr>
          <a:xfrm>
            <a:off x="10444854" y="3014382"/>
            <a:ext cx="1130822" cy="875922"/>
          </a:xfrm>
          <a:prstGeom prst="rect">
            <a:avLst/>
          </a:prstGeom>
        </xdr:spPr>
      </xdr:pic>
      <xdr:pic>
        <xdr:nvPicPr>
          <xdr:cNvPr id="34" name="Imagen 33">
            <a:extLst>
              <a:ext uri="{FF2B5EF4-FFF2-40B4-BE49-F238E27FC236}">
                <a16:creationId xmlns:a16="http://schemas.microsoft.com/office/drawing/2014/main" id="{D65E666D-9FAC-400C-658F-358FDBDB94A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393147" y="3339353"/>
            <a:ext cx="1182980" cy="1194009"/>
          </a:xfrm>
          <a:prstGeom prst="rect">
            <a:avLst/>
          </a:prstGeom>
        </xdr:spPr>
      </xdr:pic>
      <xdr:pic>
        <xdr:nvPicPr>
          <xdr:cNvPr id="36" name="Imagen 35">
            <a:extLst>
              <a:ext uri="{FF2B5EF4-FFF2-40B4-BE49-F238E27FC236}">
                <a16:creationId xmlns:a16="http://schemas.microsoft.com/office/drawing/2014/main" id="{2347FBCE-6A51-7F17-8F15-7664221030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07942" y="4150324"/>
            <a:ext cx="1182980" cy="1182980"/>
          </a:xfrm>
          <a:prstGeom prst="rect">
            <a:avLst/>
          </a:prstGeom>
        </xdr:spPr>
      </xdr:pic>
      <xdr:pic>
        <xdr:nvPicPr>
          <xdr:cNvPr id="38" name="Imagen 37">
            <a:extLst>
              <a:ext uri="{FF2B5EF4-FFF2-40B4-BE49-F238E27FC236}">
                <a16:creationId xmlns:a16="http://schemas.microsoft.com/office/drawing/2014/main" id="{EF7E1489-D7D7-D754-9D82-86B6856D4E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401795" y="4097723"/>
            <a:ext cx="1182980" cy="1180248"/>
          </a:xfrm>
          <a:prstGeom prst="rect">
            <a:avLst/>
          </a:prstGeom>
        </xdr:spPr>
      </xdr:pic>
      <xdr:pic>
        <xdr:nvPicPr>
          <xdr:cNvPr id="40" name="Imagen 39">
            <a:extLst>
              <a:ext uri="{FF2B5EF4-FFF2-40B4-BE49-F238E27FC236}">
                <a16:creationId xmlns:a16="http://schemas.microsoft.com/office/drawing/2014/main" id="{117EACD2-5456-1BC2-5112-6970F2FB3E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50207" y="5044236"/>
            <a:ext cx="1182980" cy="1182980"/>
          </a:xfrm>
          <a:prstGeom prst="rect">
            <a:avLst/>
          </a:prstGeom>
        </xdr:spPr>
      </xdr:pic>
      <xdr:pic>
        <xdr:nvPicPr>
          <xdr:cNvPr id="42" name="Imagen 41">
            <a:extLst>
              <a:ext uri="{FF2B5EF4-FFF2-40B4-BE49-F238E27FC236}">
                <a16:creationId xmlns:a16="http://schemas.microsoft.com/office/drawing/2014/main" id="{F27D1BE0-5BB9-04C4-1202-AB5DBDA2DB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33708" y="5810560"/>
            <a:ext cx="1182980" cy="1182980"/>
          </a:xfrm>
          <a:prstGeom prst="rect">
            <a:avLst/>
          </a:prstGeom>
        </xdr:spPr>
      </xdr:pic>
      <xdr:pic>
        <xdr:nvPicPr>
          <xdr:cNvPr id="44" name="Imagen 43">
            <a:extLst>
              <a:ext uri="{FF2B5EF4-FFF2-40B4-BE49-F238E27FC236}">
                <a16:creationId xmlns:a16="http://schemas.microsoft.com/office/drawing/2014/main" id="{BD952A83-946C-8B78-651C-F1BA522FD91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103678" y="5826088"/>
            <a:ext cx="1182980" cy="1182980"/>
          </a:xfrm>
          <a:prstGeom prst="rect">
            <a:avLst/>
          </a:prstGeom>
        </xdr:spPr>
      </xdr:pic>
      <xdr:pic>
        <xdr:nvPicPr>
          <xdr:cNvPr id="46" name="Imagen 45">
            <a:extLst>
              <a:ext uri="{FF2B5EF4-FFF2-40B4-BE49-F238E27FC236}">
                <a16:creationId xmlns:a16="http://schemas.microsoft.com/office/drawing/2014/main" id="{C1286CD4-561B-32EA-CF95-7C5DE358D6C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430295" y="5046000"/>
            <a:ext cx="1182980" cy="1182980"/>
          </a:xfrm>
          <a:prstGeom prst="rect">
            <a:avLst/>
          </a:prstGeom>
        </xdr:spPr>
      </xdr:pic>
      <xdr:pic>
        <xdr:nvPicPr>
          <xdr:cNvPr id="48" name="Imagen 47">
            <a:extLst>
              <a:ext uri="{FF2B5EF4-FFF2-40B4-BE49-F238E27FC236}">
                <a16:creationId xmlns:a16="http://schemas.microsoft.com/office/drawing/2014/main" id="{3F547F0C-C20F-2AA5-D395-294D573B286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168354" y="6428648"/>
            <a:ext cx="1182980" cy="1182980"/>
          </a:xfrm>
          <a:prstGeom prst="rect">
            <a:avLst/>
          </a:prstGeom>
        </xdr:spPr>
      </xdr:pic>
      <xdr:pic>
        <xdr:nvPicPr>
          <xdr:cNvPr id="50" name="Imagen 49">
            <a:extLst>
              <a:ext uri="{FF2B5EF4-FFF2-40B4-BE49-F238E27FC236}">
                <a16:creationId xmlns:a16="http://schemas.microsoft.com/office/drawing/2014/main" id="{533D611A-0FF5-9E7D-A614-3B37E8B039C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17384" y="6354530"/>
            <a:ext cx="1182980" cy="1182980"/>
          </a:xfrm>
          <a:prstGeom prst="rect">
            <a:avLst/>
          </a:prstGeom>
        </xdr:spPr>
      </xdr:pic>
      <xdr:pic>
        <xdr:nvPicPr>
          <xdr:cNvPr id="52" name="Imagen 51">
            <a:extLst>
              <a:ext uri="{FF2B5EF4-FFF2-40B4-BE49-F238E27FC236}">
                <a16:creationId xmlns:a16="http://schemas.microsoft.com/office/drawing/2014/main" id="{9E21D5BA-1E7A-3F0E-2C17-365FB91B11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154588" y="7109648"/>
            <a:ext cx="1182980" cy="1182980"/>
          </a:xfrm>
          <a:prstGeom prst="rect">
            <a:avLst/>
          </a:prstGeom>
        </xdr:spPr>
      </xdr:pic>
      <xdr:pic>
        <xdr:nvPicPr>
          <xdr:cNvPr id="54" name="Imagen 53">
            <a:extLst>
              <a:ext uri="{FF2B5EF4-FFF2-40B4-BE49-F238E27FC236}">
                <a16:creationId xmlns:a16="http://schemas.microsoft.com/office/drawing/2014/main" id="{569BDC53-E66D-3478-D917-1B9D24AD9C8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14825" y="7069147"/>
            <a:ext cx="1182980" cy="1182980"/>
          </a:xfrm>
          <a:prstGeom prst="rect">
            <a:avLst/>
          </a:prstGeom>
        </xdr:spPr>
      </xdr:pic>
      <xdr:pic>
        <xdr:nvPicPr>
          <xdr:cNvPr id="56" name="Imagen 55">
            <a:extLst>
              <a:ext uri="{FF2B5EF4-FFF2-40B4-BE49-F238E27FC236}">
                <a16:creationId xmlns:a16="http://schemas.microsoft.com/office/drawing/2014/main" id="{C41D0160-7A9B-48DD-0305-15D2D92A547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118413" y="8104412"/>
            <a:ext cx="1182980" cy="1182980"/>
          </a:xfrm>
          <a:prstGeom prst="rect">
            <a:avLst/>
          </a:prstGeom>
        </xdr:spPr>
      </xdr:pic>
      <xdr:pic>
        <xdr:nvPicPr>
          <xdr:cNvPr id="58" name="Imagen 57">
            <a:extLst>
              <a:ext uri="{FF2B5EF4-FFF2-40B4-BE49-F238E27FC236}">
                <a16:creationId xmlns:a16="http://schemas.microsoft.com/office/drawing/2014/main" id="{4DF164F5-0F71-A150-F752-5C9CCDC11B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7089" y="8086323"/>
            <a:ext cx="1182980" cy="1182980"/>
          </a:xfrm>
          <a:prstGeom prst="rect">
            <a:avLst/>
          </a:prstGeom>
        </xdr:spPr>
      </xdr:pic>
      <xdr:pic>
        <xdr:nvPicPr>
          <xdr:cNvPr id="60" name="Imagen 59">
            <a:extLst>
              <a:ext uri="{FF2B5EF4-FFF2-40B4-BE49-F238E27FC236}">
                <a16:creationId xmlns:a16="http://schemas.microsoft.com/office/drawing/2014/main" id="{0B5470F9-087A-80F2-F0EE-F64A5553E4F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5502" y="9099176"/>
            <a:ext cx="1182980" cy="1182980"/>
          </a:xfrm>
          <a:prstGeom prst="rect">
            <a:avLst/>
          </a:prstGeom>
        </xdr:spPr>
      </xdr:pic>
      <xdr:pic>
        <xdr:nvPicPr>
          <xdr:cNvPr id="62" name="Imagen 61">
            <a:extLst>
              <a:ext uri="{FF2B5EF4-FFF2-40B4-BE49-F238E27FC236}">
                <a16:creationId xmlns:a16="http://schemas.microsoft.com/office/drawing/2014/main" id="{1E0A410E-0C99-A472-30C6-0F373315AEB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476089" y="9137118"/>
            <a:ext cx="1182980" cy="1182980"/>
          </a:xfrm>
          <a:prstGeom prst="rect">
            <a:avLst/>
          </a:prstGeom>
        </xdr:spPr>
      </xdr:pic>
      <xdr:pic>
        <xdr:nvPicPr>
          <xdr:cNvPr id="1024" name="Imagen 1023">
            <a:extLst>
              <a:ext uri="{FF2B5EF4-FFF2-40B4-BE49-F238E27FC236}">
                <a16:creationId xmlns:a16="http://schemas.microsoft.com/office/drawing/2014/main" id="{67373430-B1E1-CC11-2305-FBE1C8A50AE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146913" y="10105147"/>
            <a:ext cx="1182980" cy="1182980"/>
          </a:xfrm>
          <a:prstGeom prst="rect">
            <a:avLst/>
          </a:prstGeom>
        </xdr:spPr>
      </xdr:pic>
      <xdr:pic>
        <xdr:nvPicPr>
          <xdr:cNvPr id="1026" name="Imagen 1025">
            <a:extLst>
              <a:ext uri="{FF2B5EF4-FFF2-40B4-BE49-F238E27FC236}">
                <a16:creationId xmlns:a16="http://schemas.microsoft.com/office/drawing/2014/main" id="{C1123351-9AE9-0C01-8D4F-8E1975B680D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07148" y="10064648"/>
            <a:ext cx="1182980" cy="1182980"/>
          </a:xfrm>
          <a:prstGeom prst="rect">
            <a:avLst/>
          </a:prstGeom>
        </xdr:spPr>
      </xdr:pic>
      <xdr:pic>
        <xdr:nvPicPr>
          <xdr:cNvPr id="1028" name="Imagen 1027">
            <a:extLst>
              <a:ext uri="{FF2B5EF4-FFF2-40B4-BE49-F238E27FC236}">
                <a16:creationId xmlns:a16="http://schemas.microsoft.com/office/drawing/2014/main" id="{FE2CDD05-6E22-F8FC-B8E6-B11B1462044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155559" y="11077500"/>
            <a:ext cx="1182980" cy="1182980"/>
          </a:xfrm>
          <a:prstGeom prst="rect">
            <a:avLst/>
          </a:prstGeom>
        </xdr:spPr>
      </xdr:pic>
      <xdr:pic>
        <xdr:nvPicPr>
          <xdr:cNvPr id="1030" name="Imagen 1029">
            <a:extLst>
              <a:ext uri="{FF2B5EF4-FFF2-40B4-BE49-F238E27FC236}">
                <a16:creationId xmlns:a16="http://schemas.microsoft.com/office/drawing/2014/main" id="{E0629EA5-2C54-DF80-4B37-4735C1E6013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27002" y="11048206"/>
            <a:ext cx="1182980" cy="1182980"/>
          </a:xfrm>
          <a:prstGeom prst="rect">
            <a:avLst/>
          </a:prstGeom>
        </xdr:spPr>
      </xdr:pic>
      <xdr:pic>
        <xdr:nvPicPr>
          <xdr:cNvPr id="1032" name="Imagen 1031">
            <a:extLst>
              <a:ext uri="{FF2B5EF4-FFF2-40B4-BE49-F238E27FC236}">
                <a16:creationId xmlns:a16="http://schemas.microsoft.com/office/drawing/2014/main" id="{45CB4EED-4F89-58FB-A92C-046A30C5D01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153001" y="12094677"/>
            <a:ext cx="1182980" cy="1182980"/>
          </a:xfrm>
          <a:prstGeom prst="rect">
            <a:avLst/>
          </a:prstGeom>
        </xdr:spPr>
      </xdr:pic>
      <xdr:pic>
        <xdr:nvPicPr>
          <xdr:cNvPr id="1034" name="Imagen 1033">
            <a:extLst>
              <a:ext uri="{FF2B5EF4-FFF2-40B4-BE49-F238E27FC236}">
                <a16:creationId xmlns:a16="http://schemas.microsoft.com/office/drawing/2014/main" id="{AA87D461-72BD-5B37-AB7D-A6EA3EB66C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8060" y="12031765"/>
            <a:ext cx="1182980" cy="1182980"/>
          </a:xfrm>
          <a:prstGeom prst="rect">
            <a:avLst/>
          </a:prstGeom>
        </xdr:spPr>
      </xdr:pic>
      <xdr:pic>
        <xdr:nvPicPr>
          <xdr:cNvPr id="1036" name="Imagen 1035">
            <a:extLst>
              <a:ext uri="{FF2B5EF4-FFF2-40B4-BE49-F238E27FC236}">
                <a16:creationId xmlns:a16="http://schemas.microsoft.com/office/drawing/2014/main" id="{EC8A91BE-0484-9464-D9AD-B4FAF6EE69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59941" y="12635472"/>
            <a:ext cx="1569715" cy="1569715"/>
          </a:xfrm>
          <a:prstGeom prst="rect">
            <a:avLst/>
          </a:prstGeom>
        </xdr:spPr>
      </xdr:pic>
      <xdr:pic>
        <xdr:nvPicPr>
          <xdr:cNvPr id="1038" name="Imagen 1037">
            <a:extLst>
              <a:ext uri="{FF2B5EF4-FFF2-40B4-BE49-F238E27FC236}">
                <a16:creationId xmlns:a16="http://schemas.microsoft.com/office/drawing/2014/main" id="{8AD67549-282E-C847-672D-5F093AADFC3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89119" y="12847236"/>
            <a:ext cx="1182980" cy="1182980"/>
          </a:xfrm>
          <a:prstGeom prst="rect">
            <a:avLst/>
          </a:prstGeom>
        </xdr:spPr>
      </xdr:pic>
      <xdr:pic>
        <xdr:nvPicPr>
          <xdr:cNvPr id="1040" name="Imagen 1039">
            <a:extLst>
              <a:ext uri="{FF2B5EF4-FFF2-40B4-BE49-F238E27FC236}">
                <a16:creationId xmlns:a16="http://schemas.microsoft.com/office/drawing/2014/main" id="{A3539DED-736F-C45F-3573-B740C14800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9824" y="13479089"/>
            <a:ext cx="1182980" cy="1182980"/>
          </a:xfrm>
          <a:prstGeom prst="rect">
            <a:avLst/>
          </a:prstGeom>
        </xdr:spPr>
      </xdr:pic>
      <xdr:pic>
        <xdr:nvPicPr>
          <xdr:cNvPr id="1043" name="Imagen 1042">
            <a:extLst>
              <a:ext uri="{FF2B5EF4-FFF2-40B4-BE49-F238E27FC236}">
                <a16:creationId xmlns:a16="http://schemas.microsoft.com/office/drawing/2014/main" id="{03C372C8-47AE-C25B-D1CB-0450052858A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53913" y="14716059"/>
            <a:ext cx="949765" cy="949765"/>
          </a:xfrm>
          <a:prstGeom prst="rect">
            <a:avLst/>
          </a:prstGeom>
        </xdr:spPr>
      </xdr:pic>
      <xdr:pic>
        <xdr:nvPicPr>
          <xdr:cNvPr id="1045" name="Imagen 1044">
            <a:extLst>
              <a:ext uri="{FF2B5EF4-FFF2-40B4-BE49-F238E27FC236}">
                <a16:creationId xmlns:a16="http://schemas.microsoft.com/office/drawing/2014/main" id="{A58D0CB9-63FA-A9BE-6AEB-5918DD3B63E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90883" y="14585912"/>
            <a:ext cx="1182980" cy="1182980"/>
          </a:xfrm>
          <a:prstGeom prst="rect">
            <a:avLst/>
          </a:prstGeom>
        </xdr:spPr>
      </xdr:pic>
      <xdr:pic>
        <xdr:nvPicPr>
          <xdr:cNvPr id="1047" name="Imagen 1046">
            <a:extLst>
              <a:ext uri="{FF2B5EF4-FFF2-40B4-BE49-F238E27FC236}">
                <a16:creationId xmlns:a16="http://schemas.microsoft.com/office/drawing/2014/main" id="{7DF17961-8E84-9074-31C2-FA694B98BD7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72796" y="15496359"/>
            <a:ext cx="1182980" cy="1184532"/>
          </a:xfrm>
          <a:prstGeom prst="rect">
            <a:avLst/>
          </a:prstGeom>
        </xdr:spPr>
      </xdr:pic>
      <xdr:pic>
        <xdr:nvPicPr>
          <xdr:cNvPr id="1049" name="Imagen 1048">
            <a:extLst>
              <a:ext uri="{FF2B5EF4-FFF2-40B4-BE49-F238E27FC236}">
                <a16:creationId xmlns:a16="http://schemas.microsoft.com/office/drawing/2014/main" id="{892CE48A-7CC7-CBEF-AC8F-71CFC5C1E0B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33265" y="15647911"/>
            <a:ext cx="970413" cy="970413"/>
          </a:xfrm>
          <a:prstGeom prst="rect">
            <a:avLst/>
          </a:prstGeom>
        </xdr:spPr>
      </xdr:pic>
      <xdr:pic>
        <xdr:nvPicPr>
          <xdr:cNvPr id="1051" name="Imagen 1050">
            <a:extLst>
              <a:ext uri="{FF2B5EF4-FFF2-40B4-BE49-F238E27FC236}">
                <a16:creationId xmlns:a16="http://schemas.microsoft.com/office/drawing/2014/main" id="{6C8552AD-418C-3EC3-89C4-A4804C011A9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180707" y="13500705"/>
            <a:ext cx="1182980" cy="1182980"/>
          </a:xfrm>
          <a:prstGeom prst="rect">
            <a:avLst/>
          </a:prstGeom>
        </xdr:spPr>
      </xdr:pic>
      <xdr:pic>
        <xdr:nvPicPr>
          <xdr:cNvPr id="1053" name="Imagen 1052">
            <a:extLst>
              <a:ext uri="{FF2B5EF4-FFF2-40B4-BE49-F238E27FC236}">
                <a16:creationId xmlns:a16="http://schemas.microsoft.com/office/drawing/2014/main" id="{D4EB9206-4376-962C-1CEC-A090BBC239B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151413" y="14018559"/>
            <a:ext cx="1182980" cy="1184919"/>
          </a:xfrm>
          <a:prstGeom prst="rect">
            <a:avLst/>
          </a:prstGeom>
        </xdr:spPr>
      </xdr:pic>
      <xdr:pic>
        <xdr:nvPicPr>
          <xdr:cNvPr id="1055" name="Imagen 1054">
            <a:extLst>
              <a:ext uri="{FF2B5EF4-FFF2-40B4-BE49-F238E27FC236}">
                <a16:creationId xmlns:a16="http://schemas.microsoft.com/office/drawing/2014/main" id="{3D0C7665-D554-D1BA-32DE-606E20715F7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67678" y="14013616"/>
            <a:ext cx="1182980" cy="1182980"/>
          </a:xfrm>
          <a:prstGeom prst="rect">
            <a:avLst/>
          </a:prstGeom>
        </xdr:spPr>
      </xdr:pic>
      <xdr:pic>
        <xdr:nvPicPr>
          <xdr:cNvPr id="1057" name="Imagen 1056">
            <a:extLst>
              <a:ext uri="{FF2B5EF4-FFF2-40B4-BE49-F238E27FC236}">
                <a16:creationId xmlns:a16="http://schemas.microsoft.com/office/drawing/2014/main" id="{7702DA7C-0583-B7F1-ABDF-20BF409A9A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49707" y="16528059"/>
            <a:ext cx="1182980" cy="1182980"/>
          </a:xfrm>
          <a:prstGeom prst="rect">
            <a:avLst/>
          </a:prstGeom>
        </xdr:spPr>
      </xdr:pic>
      <xdr:pic>
        <xdr:nvPicPr>
          <xdr:cNvPr id="1059" name="Imagen 1058">
            <a:extLst>
              <a:ext uri="{FF2B5EF4-FFF2-40B4-BE49-F238E27FC236}">
                <a16:creationId xmlns:a16="http://schemas.microsoft.com/office/drawing/2014/main" id="{3F9B196B-DFEA-8286-5951-2CD6E51833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654766" y="16521178"/>
            <a:ext cx="1182980" cy="1182980"/>
          </a:xfrm>
          <a:prstGeom prst="rect">
            <a:avLst/>
          </a:prstGeom>
        </xdr:spPr>
      </xdr:pic>
      <xdr:pic>
        <xdr:nvPicPr>
          <xdr:cNvPr id="1061" name="Imagen 1060">
            <a:extLst>
              <a:ext uri="{FF2B5EF4-FFF2-40B4-BE49-F238E27FC236}">
                <a16:creationId xmlns:a16="http://schemas.microsoft.com/office/drawing/2014/main" id="{E5A292F2-9C19-4004-1C57-6FE39B3391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47148" y="17713324"/>
            <a:ext cx="1182980" cy="1182980"/>
          </a:xfrm>
          <a:prstGeom prst="rect">
            <a:avLst/>
          </a:prstGeom>
        </xdr:spPr>
      </xdr:pic>
      <xdr:pic>
        <xdr:nvPicPr>
          <xdr:cNvPr id="1063" name="Imagen 1062">
            <a:extLst>
              <a:ext uri="{FF2B5EF4-FFF2-40B4-BE49-F238E27FC236}">
                <a16:creationId xmlns:a16="http://schemas.microsoft.com/office/drawing/2014/main" id="{C20F7DC9-397A-1671-F81F-E8C65AEA217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652207" y="17661619"/>
            <a:ext cx="1182980" cy="1182980"/>
          </a:xfrm>
          <a:prstGeom prst="rect">
            <a:avLst/>
          </a:prstGeom>
        </xdr:spPr>
      </xdr:pic>
      <xdr:pic>
        <xdr:nvPicPr>
          <xdr:cNvPr id="1065" name="Imagen 1064">
            <a:extLst>
              <a:ext uri="{FF2B5EF4-FFF2-40B4-BE49-F238E27FC236}">
                <a16:creationId xmlns:a16="http://schemas.microsoft.com/office/drawing/2014/main" id="{FDE64BCD-8EB8-1B85-3158-8D55C66E17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78208" y="18652058"/>
            <a:ext cx="1182980" cy="1182980"/>
          </a:xfrm>
          <a:prstGeom prst="rect">
            <a:avLst/>
          </a:prstGeom>
        </xdr:spPr>
      </xdr:pic>
      <xdr:pic>
        <xdr:nvPicPr>
          <xdr:cNvPr id="1067" name="Imagen 1066">
            <a:extLst>
              <a:ext uri="{FF2B5EF4-FFF2-40B4-BE49-F238E27FC236}">
                <a16:creationId xmlns:a16="http://schemas.microsoft.com/office/drawing/2014/main" id="{D381367D-9D1E-AC1A-6B4E-13001F4046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93737" y="19541646"/>
            <a:ext cx="1182980" cy="1182980"/>
          </a:xfrm>
          <a:prstGeom prst="rect">
            <a:avLst/>
          </a:prstGeom>
        </xdr:spPr>
      </xdr:pic>
      <xdr:pic>
        <xdr:nvPicPr>
          <xdr:cNvPr id="1069" name="Imagen 1068">
            <a:extLst>
              <a:ext uri="{FF2B5EF4-FFF2-40B4-BE49-F238E27FC236}">
                <a16:creationId xmlns:a16="http://schemas.microsoft.com/office/drawing/2014/main" id="{1F57C892-D0C0-B573-7348-24A40909A4C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642767" y="19422705"/>
            <a:ext cx="1182980" cy="1182980"/>
          </a:xfrm>
          <a:prstGeom prst="rect">
            <a:avLst/>
          </a:prstGeom>
        </xdr:spPr>
      </xdr:pic>
      <xdr:pic>
        <xdr:nvPicPr>
          <xdr:cNvPr id="1071" name="Imagen 1070">
            <a:extLst>
              <a:ext uri="{FF2B5EF4-FFF2-40B4-BE49-F238E27FC236}">
                <a16:creationId xmlns:a16="http://schemas.microsoft.com/office/drawing/2014/main" id="{F5F7A64F-41FC-9E73-1BE5-AB6DDDEFE3D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79972" y="20558824"/>
            <a:ext cx="1182980" cy="1182980"/>
          </a:xfrm>
          <a:prstGeom prst="rect">
            <a:avLst/>
          </a:prstGeom>
        </xdr:spPr>
      </xdr:pic>
      <xdr:pic>
        <xdr:nvPicPr>
          <xdr:cNvPr id="1073" name="Imagen 1072">
            <a:extLst>
              <a:ext uri="{FF2B5EF4-FFF2-40B4-BE49-F238E27FC236}">
                <a16:creationId xmlns:a16="http://schemas.microsoft.com/office/drawing/2014/main" id="{66AA5971-569D-A2FA-0BAE-0EC2C34252A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685030" y="18646941"/>
            <a:ext cx="1182980" cy="1182980"/>
          </a:xfrm>
          <a:prstGeom prst="rect">
            <a:avLst/>
          </a:prstGeom>
        </xdr:spPr>
      </xdr:pic>
      <xdr:pic>
        <xdr:nvPicPr>
          <xdr:cNvPr id="1075" name="Imagen 1074">
            <a:extLst>
              <a:ext uri="{FF2B5EF4-FFF2-40B4-BE49-F238E27FC236}">
                <a16:creationId xmlns:a16="http://schemas.microsoft.com/office/drawing/2014/main" id="{80A1935E-EEA9-41E9-874C-4E23693D561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644530" y="20399382"/>
            <a:ext cx="1182980" cy="1182980"/>
          </a:xfrm>
          <a:prstGeom prst="rect">
            <a:avLst/>
          </a:prstGeom>
        </xdr:spPr>
      </xdr:pic>
      <xdr:pic>
        <xdr:nvPicPr>
          <xdr:cNvPr id="1077" name="Imagen 1076">
            <a:extLst>
              <a:ext uri="{FF2B5EF4-FFF2-40B4-BE49-F238E27FC236}">
                <a16:creationId xmlns:a16="http://schemas.microsoft.com/office/drawing/2014/main" id="{601DDAA3-C355-B2D4-37BD-1AF094AFC0D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04148" y="21557911"/>
            <a:ext cx="1182980" cy="1182980"/>
          </a:xfrm>
          <a:prstGeom prst="rect">
            <a:avLst/>
          </a:prstGeom>
        </xdr:spPr>
      </xdr:pic>
      <xdr:pic>
        <xdr:nvPicPr>
          <xdr:cNvPr id="1079" name="Imagen 1078">
            <a:extLst>
              <a:ext uri="{FF2B5EF4-FFF2-40B4-BE49-F238E27FC236}">
                <a16:creationId xmlns:a16="http://schemas.microsoft.com/office/drawing/2014/main" id="{A5591B82-D7E0-B34F-DFC4-DFB5BAADE49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731619" y="21640677"/>
            <a:ext cx="1062441" cy="1062441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instagram.com/quinielaconcausa" TargetMode="External"/><Relationship Id="rId1" Type="http://schemas.openxmlformats.org/officeDocument/2006/relationships/hyperlink" Target="http://www.facebook.com/quinielaconcausa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Y173"/>
  <sheetViews>
    <sheetView showGridLines="0" showRowColHeaders="0" tabSelected="1" topLeftCell="A2" zoomScale="110" zoomScaleNormal="110" workbookViewId="0">
      <selection activeCell="E17" sqref="E17"/>
    </sheetView>
  </sheetViews>
  <sheetFormatPr baseColWidth="10" defaultColWidth="0" defaultRowHeight="12.75" zeroHeight="1" x14ac:dyDescent="0.2"/>
  <cols>
    <col min="1" max="1" width="3" style="18" customWidth="1"/>
    <col min="2" max="2" width="5.7109375" style="18" bestFit="1" customWidth="1"/>
    <col min="3" max="3" width="18.42578125" style="18" bestFit="1" customWidth="1"/>
    <col min="4" max="4" width="19.7109375" style="18" bestFit="1" customWidth="1"/>
    <col min="5" max="6" width="5.140625" style="18" customWidth="1"/>
    <col min="7" max="7" width="16.42578125" style="18" customWidth="1"/>
    <col min="8" max="8" width="10.28515625" style="18" customWidth="1"/>
    <col min="9" max="9" width="4.5703125" style="18" customWidth="1"/>
    <col min="10" max="10" width="5.28515625" style="18" customWidth="1"/>
    <col min="11" max="11" width="5.85546875" style="91" customWidth="1"/>
    <col min="12" max="12" width="16.5703125" style="18" customWidth="1"/>
    <col min="13" max="13" width="5.42578125" style="18" bestFit="1" customWidth="1"/>
    <col min="14" max="14" width="4.85546875" style="18" bestFit="1" customWidth="1"/>
    <col min="15" max="15" width="7.7109375" style="18" customWidth="1"/>
    <col min="16" max="16" width="6" style="18" customWidth="1"/>
    <col min="17" max="18" width="7" style="18" customWidth="1"/>
    <col min="19" max="19" width="16.5703125" style="18" customWidth="1"/>
    <col min="20" max="21" width="8" style="18" customWidth="1"/>
    <col min="22" max="22" width="20" style="18" hidden="1" customWidth="1"/>
    <col min="23" max="24" width="6" style="18" hidden="1" customWidth="1"/>
    <col min="25" max="25" width="10" style="18" hidden="1" customWidth="1"/>
    <col min="26" max="16384" width="9.140625" style="18" hidden="1"/>
  </cols>
  <sheetData>
    <row r="1" spans="1:21" ht="13.5" hidden="1" thickBot="1" x14ac:dyDescent="0.25">
      <c r="B1" s="19"/>
      <c r="C1" s="19"/>
      <c r="D1" s="20"/>
      <c r="E1" s="20"/>
      <c r="F1" s="19"/>
      <c r="G1" s="19"/>
      <c r="H1" s="19"/>
      <c r="I1" s="20"/>
      <c r="J1" s="19"/>
      <c r="K1" s="21"/>
      <c r="L1" s="20"/>
      <c r="M1" s="19"/>
      <c r="N1" s="19"/>
      <c r="O1" s="19"/>
      <c r="P1" s="19"/>
      <c r="Q1" s="19"/>
      <c r="R1" s="19"/>
    </row>
    <row r="2" spans="1:21" ht="33.75" customHeight="1" thickTop="1" x14ac:dyDescent="0.2">
      <c r="A2" s="22"/>
      <c r="B2" s="126" t="s">
        <v>853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23"/>
      <c r="P2" s="23"/>
      <c r="Q2" s="23"/>
      <c r="R2" s="23"/>
      <c r="S2" s="23"/>
      <c r="T2" s="23"/>
      <c r="U2" s="24"/>
    </row>
    <row r="3" spans="1:21" ht="3" customHeight="1" x14ac:dyDescent="0.2">
      <c r="A3" s="25"/>
      <c r="B3" s="26"/>
      <c r="C3" s="26"/>
      <c r="D3" s="27"/>
      <c r="E3" s="27"/>
      <c r="F3" s="26"/>
      <c r="G3" s="26"/>
      <c r="H3" s="26"/>
      <c r="I3" s="27"/>
      <c r="J3" s="26"/>
      <c r="K3" s="28"/>
      <c r="L3" s="27"/>
      <c r="M3" s="26"/>
      <c r="N3" s="26"/>
      <c r="O3" s="26"/>
      <c r="P3" s="26"/>
      <c r="Q3" s="26"/>
      <c r="R3" s="26"/>
      <c r="S3" s="29"/>
      <c r="T3" s="29"/>
      <c r="U3" s="30"/>
    </row>
    <row r="4" spans="1:21" x14ac:dyDescent="0.2">
      <c r="A4" s="25"/>
      <c r="B4" s="26"/>
      <c r="C4" s="26"/>
      <c r="D4" s="27"/>
      <c r="E4" s="27"/>
      <c r="F4" s="26"/>
      <c r="G4" s="26"/>
      <c r="H4" s="26"/>
      <c r="I4" s="27"/>
      <c r="J4" s="28"/>
      <c r="K4" s="28"/>
      <c r="L4" s="27"/>
      <c r="M4" s="26"/>
      <c r="N4" s="26"/>
      <c r="O4" s="26"/>
      <c r="P4" s="26"/>
      <c r="Q4" s="26"/>
      <c r="R4" s="26"/>
      <c r="S4" s="29"/>
      <c r="T4" s="29"/>
      <c r="U4" s="30"/>
    </row>
    <row r="5" spans="1:21" ht="15" x14ac:dyDescent="0.2">
      <c r="A5" s="25"/>
      <c r="B5" s="26"/>
      <c r="C5" s="29"/>
      <c r="D5" s="31" t="s">
        <v>0</v>
      </c>
      <c r="E5" s="130"/>
      <c r="F5" s="131"/>
      <c r="G5" s="131"/>
      <c r="H5" s="132"/>
      <c r="I5" s="29"/>
      <c r="J5" s="28"/>
      <c r="K5" s="28"/>
      <c r="L5" s="27"/>
      <c r="M5" s="26"/>
      <c r="N5" s="26"/>
      <c r="O5" s="26"/>
      <c r="P5" s="26"/>
      <c r="Q5" s="26"/>
      <c r="R5" s="26"/>
      <c r="S5" s="29"/>
      <c r="T5" s="29"/>
      <c r="U5" s="30"/>
    </row>
    <row r="6" spans="1:21" ht="14.25" customHeight="1" x14ac:dyDescent="0.2">
      <c r="A6" s="25"/>
      <c r="B6" s="26"/>
      <c r="C6" s="29"/>
      <c r="D6" s="31" t="s">
        <v>848</v>
      </c>
      <c r="E6" s="133"/>
      <c r="F6" s="134"/>
      <c r="G6" s="134"/>
      <c r="H6" s="135"/>
      <c r="I6" s="29"/>
      <c r="J6" s="28"/>
      <c r="K6" s="28"/>
      <c r="L6" s="27"/>
      <c r="M6" s="26"/>
      <c r="N6" s="26"/>
      <c r="O6" s="26"/>
      <c r="P6" s="26"/>
      <c r="Q6" s="26"/>
      <c r="R6" s="26"/>
      <c r="S6" s="29"/>
      <c r="T6" s="29"/>
      <c r="U6" s="30"/>
    </row>
    <row r="7" spans="1:21" ht="15" x14ac:dyDescent="0.25">
      <c r="A7" s="25"/>
      <c r="B7" s="26"/>
      <c r="C7" s="29"/>
      <c r="D7" s="31" t="s">
        <v>2</v>
      </c>
      <c r="E7" s="127" t="str">
        <f>IF(COUNT(E17:E110,I17:I110)+COUNTA(E5,E6,H113:I120,H121:I128,H131:I134,H135:I138,H141:I142,H143:I144,H147,H148,H151,F157,F158,F159,F160,F163)=182,"COMPLETA","INCOMPLETA")</f>
        <v>INCOMPLETA</v>
      </c>
      <c r="F7" s="128"/>
      <c r="G7" s="128"/>
      <c r="H7" s="129"/>
      <c r="I7" s="29"/>
      <c r="J7" s="32"/>
      <c r="K7" s="32"/>
      <c r="L7" s="27"/>
      <c r="M7" s="26"/>
      <c r="N7" s="26"/>
      <c r="O7" s="26"/>
      <c r="P7" s="26"/>
      <c r="Q7" s="33"/>
      <c r="R7" s="26"/>
      <c r="S7" s="29"/>
      <c r="T7" s="29"/>
      <c r="U7" s="30"/>
    </row>
    <row r="8" spans="1:21" x14ac:dyDescent="0.2">
      <c r="A8" s="25"/>
      <c r="B8" s="26"/>
      <c r="C8" s="26"/>
      <c r="I8" s="29"/>
      <c r="J8" s="26"/>
      <c r="K8" s="28"/>
      <c r="L8" s="27"/>
      <c r="M8" s="26"/>
      <c r="N8" s="26"/>
      <c r="O8" s="26"/>
      <c r="P8" s="26"/>
      <c r="Q8" s="26"/>
      <c r="R8" s="26"/>
      <c r="S8" s="29"/>
      <c r="T8" s="29"/>
      <c r="U8" s="30"/>
    </row>
    <row r="9" spans="1:21" ht="12.75" customHeight="1" x14ac:dyDescent="0.2">
      <c r="A9" s="25"/>
      <c r="B9" s="29"/>
      <c r="C9" s="26"/>
      <c r="D9" s="34" t="s">
        <v>854</v>
      </c>
      <c r="E9" s="29"/>
      <c r="F9" s="29"/>
      <c r="G9" s="29"/>
      <c r="H9" s="29"/>
      <c r="I9" s="29"/>
      <c r="J9" s="26"/>
      <c r="K9" s="26"/>
      <c r="L9" s="26"/>
      <c r="M9" s="26"/>
      <c r="N9" s="26"/>
      <c r="O9" s="26"/>
      <c r="P9" s="26"/>
      <c r="Q9" s="26"/>
      <c r="R9" s="26"/>
      <c r="S9" s="29"/>
      <c r="T9" s="29"/>
      <c r="U9" s="30"/>
    </row>
    <row r="10" spans="1:21" x14ac:dyDescent="0.2">
      <c r="A10" s="25"/>
      <c r="B10" s="26"/>
      <c r="C10" s="26"/>
      <c r="D10" s="99" t="s">
        <v>855</v>
      </c>
      <c r="E10" s="99"/>
      <c r="F10" s="99"/>
      <c r="G10" s="99"/>
      <c r="H10" s="99"/>
      <c r="I10" s="99"/>
      <c r="J10" s="26"/>
      <c r="K10" s="28"/>
      <c r="L10" s="27"/>
      <c r="M10" s="26"/>
      <c r="N10" s="26"/>
      <c r="O10" s="26"/>
      <c r="P10" s="26"/>
      <c r="Q10" s="26"/>
      <c r="R10" s="26"/>
      <c r="S10" s="29"/>
      <c r="T10" s="29"/>
      <c r="U10" s="30"/>
    </row>
    <row r="11" spans="1:21" x14ac:dyDescent="0.2">
      <c r="A11" s="25"/>
      <c r="B11" s="26"/>
      <c r="C11" s="26"/>
      <c r="D11" s="99" t="s">
        <v>856</v>
      </c>
      <c r="E11" s="99"/>
      <c r="F11" s="99"/>
      <c r="G11" s="99"/>
      <c r="H11" s="99"/>
      <c r="I11" s="99"/>
      <c r="J11" s="26"/>
      <c r="K11" s="28"/>
      <c r="L11" s="27"/>
      <c r="M11" s="26"/>
      <c r="N11" s="26"/>
      <c r="O11" s="26"/>
      <c r="P11" s="26"/>
      <c r="Q11" s="26"/>
      <c r="R11" s="26"/>
      <c r="S11" s="29"/>
      <c r="T11" s="29"/>
      <c r="U11" s="30"/>
    </row>
    <row r="12" spans="1:21" x14ac:dyDescent="0.2">
      <c r="A12" s="25"/>
      <c r="B12" s="26"/>
      <c r="C12" s="26"/>
      <c r="D12" s="99" t="s">
        <v>849</v>
      </c>
      <c r="E12" s="99"/>
      <c r="F12" s="99"/>
      <c r="G12" s="99"/>
      <c r="H12" s="100"/>
      <c r="I12" s="100"/>
      <c r="J12" s="26"/>
      <c r="K12" s="28"/>
      <c r="L12" s="27"/>
      <c r="M12" s="26"/>
      <c r="N12" s="26"/>
      <c r="O12" s="26"/>
      <c r="P12" s="26"/>
      <c r="Q12" s="26"/>
      <c r="R12" s="26"/>
      <c r="S12" s="29"/>
      <c r="T12" s="29"/>
      <c r="U12" s="30"/>
    </row>
    <row r="13" spans="1:21" ht="12.75" customHeight="1" thickBot="1" x14ac:dyDescent="0.25">
      <c r="A13" s="25"/>
      <c r="B13" s="26"/>
      <c r="C13" s="26"/>
      <c r="D13" s="27"/>
      <c r="E13" s="27"/>
      <c r="F13" s="26"/>
      <c r="G13" s="26"/>
      <c r="H13" s="26"/>
      <c r="I13" s="27"/>
      <c r="J13" s="26"/>
      <c r="K13" s="28"/>
      <c r="L13" s="27"/>
      <c r="M13" s="26"/>
      <c r="N13" s="26"/>
      <c r="O13" s="26"/>
      <c r="P13" s="26"/>
      <c r="Q13" s="26"/>
      <c r="R13" s="26"/>
      <c r="S13" s="29"/>
      <c r="T13" s="29"/>
      <c r="U13" s="30"/>
    </row>
    <row r="14" spans="1:21" ht="14.25" customHeight="1" thickBot="1" x14ac:dyDescent="0.3">
      <c r="A14" s="25"/>
      <c r="B14" s="115" t="s">
        <v>1032</v>
      </c>
      <c r="C14" s="116"/>
      <c r="D14" s="116"/>
      <c r="E14" s="116"/>
      <c r="F14" s="116"/>
      <c r="G14" s="116"/>
      <c r="H14" s="116"/>
      <c r="I14" s="117"/>
      <c r="J14" s="26"/>
      <c r="K14" s="28"/>
      <c r="L14" s="27"/>
      <c r="M14" s="26"/>
      <c r="N14" s="26"/>
      <c r="O14" s="33"/>
      <c r="P14" s="26"/>
      <c r="Q14" s="26"/>
      <c r="R14" s="26"/>
      <c r="S14" s="29"/>
      <c r="T14" s="29"/>
      <c r="U14" s="30"/>
    </row>
    <row r="15" spans="1:21" ht="13.5" thickBot="1" x14ac:dyDescent="0.25">
      <c r="A15" s="25"/>
      <c r="B15" s="35" t="s">
        <v>5</v>
      </c>
      <c r="C15" s="36" t="s">
        <v>826</v>
      </c>
      <c r="D15" s="37" t="s">
        <v>6</v>
      </c>
      <c r="E15" s="37" t="s">
        <v>7</v>
      </c>
      <c r="F15" s="37" t="s">
        <v>8</v>
      </c>
      <c r="G15" s="123" t="s">
        <v>9</v>
      </c>
      <c r="H15" s="124"/>
      <c r="I15" s="38" t="s">
        <v>10</v>
      </c>
      <c r="J15" s="29"/>
      <c r="K15" s="39"/>
      <c r="L15" s="29"/>
      <c r="M15" s="29"/>
      <c r="N15" s="29"/>
      <c r="O15" s="29"/>
      <c r="P15" s="29"/>
      <c r="Q15" s="29"/>
      <c r="R15" s="29"/>
      <c r="S15" s="29"/>
      <c r="T15" s="29"/>
      <c r="U15" s="30"/>
    </row>
    <row r="16" spans="1:21" ht="13.5" thickBot="1" x14ac:dyDescent="0.25">
      <c r="A16" s="25"/>
      <c r="B16" s="125" t="s">
        <v>3</v>
      </c>
      <c r="C16" s="125"/>
      <c r="D16" s="125"/>
      <c r="E16" s="125"/>
      <c r="F16" s="125"/>
      <c r="G16" s="125"/>
      <c r="H16" s="125"/>
      <c r="I16" s="125"/>
      <c r="J16" s="29"/>
      <c r="K16" s="92" t="s">
        <v>4</v>
      </c>
      <c r="L16" s="93"/>
      <c r="M16" s="93"/>
      <c r="N16" s="94"/>
      <c r="O16" s="29"/>
      <c r="P16" s="29"/>
      <c r="Q16" s="29"/>
      <c r="R16" s="29"/>
      <c r="S16" s="29"/>
      <c r="T16" s="29"/>
      <c r="U16" s="30"/>
    </row>
    <row r="17" spans="1:21" x14ac:dyDescent="0.2">
      <c r="A17" s="25"/>
      <c r="B17" s="40">
        <v>1</v>
      </c>
      <c r="C17" s="41" t="str">
        <f>IF(B17="","",INDEX(Calculos!$CO$4:$CO$75,MATCH(B17,Calculos!$CN$4:$CN$75,0)))</f>
        <v>11-Jun · Cd. México</v>
      </c>
      <c r="D17" s="42" t="str">
        <f>Calculos!B4</f>
        <v>MEXICO</v>
      </c>
      <c r="E17" s="17"/>
      <c r="F17" s="43" t="s">
        <v>8</v>
      </c>
      <c r="G17" s="107" t="str">
        <f>Calculos!C4</f>
        <v>SUDAFRICA</v>
      </c>
      <c r="H17" s="107"/>
      <c r="I17" s="17"/>
      <c r="J17" s="29"/>
      <c r="K17" s="44" t="s">
        <v>12</v>
      </c>
      <c r="L17" s="45" t="s">
        <v>13</v>
      </c>
      <c r="M17" s="45" t="s">
        <v>18</v>
      </c>
      <c r="N17" s="46" t="s">
        <v>19</v>
      </c>
      <c r="O17" s="29"/>
      <c r="P17" s="29"/>
      <c r="Q17" s="29"/>
      <c r="R17" s="29"/>
      <c r="S17" s="29"/>
      <c r="T17" s="29"/>
      <c r="U17" s="30"/>
    </row>
    <row r="18" spans="1:21" x14ac:dyDescent="0.2">
      <c r="A18" s="25"/>
      <c r="B18" s="40">
        <v>2</v>
      </c>
      <c r="C18" s="41" t="str">
        <f>IF(B18="","",INDEX(Calculos!$CO$4:$CO$75,MATCH(B18,Calculos!$CN$4:$CN$75,0)))</f>
        <v>11-Jun · Guadalajara</v>
      </c>
      <c r="D18" s="42" t="str">
        <f>Calculos!D4</f>
        <v>COREA DEL SUR</v>
      </c>
      <c r="E18" s="17"/>
      <c r="F18" s="43" t="s">
        <v>8</v>
      </c>
      <c r="G18" s="107" t="str">
        <f>Calculos!E4</f>
        <v>CHEQUIA</v>
      </c>
      <c r="H18" s="107"/>
      <c r="I18" s="17"/>
      <c r="J18" s="29"/>
      <c r="K18" s="47">
        <v>1</v>
      </c>
      <c r="L18" s="48" t="str">
        <f>IF(COUNT($E$17:$E$22,$I$17:$I$22)=0,"",INDEX(Calculos!$A$30:$A$33,MATCH(1,Calculos!$K$30:$K$33,0)))</f>
        <v/>
      </c>
      <c r="M18" s="49" t="str">
        <f>IF(COUNT($E$17:$E$22,$I$17:$I$22)=0,"",INDEX(Calculos!$F$30:$F$33,MATCH(1,Calculos!$K$30:$K$33,0)))</f>
        <v/>
      </c>
      <c r="N18" s="50" t="str">
        <f>IF(COUNT($E$17:$E$22,$I$17:$I$22)=0,"",INDEX(Calculos!$I$30:$I$33,MATCH(1,Calculos!$K$30:$K$33,0)))</f>
        <v/>
      </c>
      <c r="O18" s="29"/>
      <c r="P18" s="29"/>
      <c r="Q18" s="29"/>
      <c r="R18" s="29"/>
      <c r="S18" s="29"/>
      <c r="T18" s="29"/>
      <c r="U18" s="30"/>
    </row>
    <row r="19" spans="1:21" x14ac:dyDescent="0.2">
      <c r="A19" s="25"/>
      <c r="B19" s="40">
        <v>3</v>
      </c>
      <c r="C19" s="41" t="str">
        <f>IF(B19="","",INDEX(Calculos!$CO$4:$CO$75,MATCH(B19,Calculos!$CN$4:$CN$75,0)))</f>
        <v>18-Jun · Atlanta</v>
      </c>
      <c r="D19" s="42" t="str">
        <f>Calculos!E4</f>
        <v>CHEQUIA</v>
      </c>
      <c r="E19" s="17"/>
      <c r="F19" s="43" t="s">
        <v>8</v>
      </c>
      <c r="G19" s="107" t="str">
        <f>Calculos!C4</f>
        <v>SUDAFRICA</v>
      </c>
      <c r="H19" s="107"/>
      <c r="I19" s="17"/>
      <c r="J19" s="29"/>
      <c r="K19" s="51">
        <v>2</v>
      </c>
      <c r="L19" s="52" t="str">
        <f>IF(COUNT($E$17:$E$22,$I$17:$I$22)=0,"",INDEX(Calculos!$A$30:$A$33,MATCH(2,Calculos!$K$30:$K$33,0)))</f>
        <v/>
      </c>
      <c r="M19" s="53" t="str">
        <f>IF(COUNT($E$17:$E$22,$I$17:$I$22)=0,"",INDEX(Calculos!$F$30:$F$33,MATCH(2,Calculos!$K$30:$K$33,0)))</f>
        <v/>
      </c>
      <c r="N19" s="54" t="str">
        <f>IF(COUNT($E$17:$E$22,$I$17:$I$22)=0,"",INDEX(Calculos!$I$30:$I$33,MATCH(2,Calculos!$K$30:$K$33,0)))</f>
        <v/>
      </c>
      <c r="O19" s="29"/>
      <c r="P19" s="29"/>
      <c r="Q19" s="29"/>
      <c r="R19" s="29"/>
      <c r="S19" s="29"/>
      <c r="T19" s="29"/>
      <c r="U19" s="30"/>
    </row>
    <row r="20" spans="1:21" x14ac:dyDescent="0.2">
      <c r="A20" s="25"/>
      <c r="B20" s="40">
        <v>4</v>
      </c>
      <c r="C20" s="41" t="str">
        <f>IF(B20="","",INDEX(Calculos!$CO$4:$CO$75,MATCH(B20,Calculos!$CN$4:$CN$75,0)))</f>
        <v>18-Jun · Guadalajara</v>
      </c>
      <c r="D20" s="42" t="str">
        <f>Calculos!B4</f>
        <v>MEXICO</v>
      </c>
      <c r="E20" s="17"/>
      <c r="F20" s="43" t="s">
        <v>8</v>
      </c>
      <c r="G20" s="107" t="str">
        <f>Calculos!D4</f>
        <v>COREA DEL SUR</v>
      </c>
      <c r="H20" s="107"/>
      <c r="I20" s="17"/>
      <c r="J20" s="29"/>
      <c r="K20" s="51">
        <v>3</v>
      </c>
      <c r="L20" s="52" t="str">
        <f>IF(COUNT($E$17:$E$22,$I$17:$I$22)=0,"",INDEX(Calculos!$A$30:$A$33,MATCH(3,Calculos!$K$30:$K$33,0)))</f>
        <v/>
      </c>
      <c r="M20" s="53" t="str">
        <f>IF(COUNT($E$17:$E$22,$I$17:$I$22)=0,"",INDEX(Calculos!$F$30:$F$33,MATCH(3,Calculos!$K$30:$K$33,0)))</f>
        <v/>
      </c>
      <c r="N20" s="54" t="str">
        <f>IF(COUNT($E$17:$E$22,$I$17:$I$22)=0,"",INDEX(Calculos!$I$30:$I$33,MATCH(3,Calculos!$K$30:$K$33,0)))</f>
        <v/>
      </c>
      <c r="O20" s="29"/>
      <c r="P20" s="29"/>
      <c r="Q20" s="29"/>
      <c r="R20" s="29"/>
      <c r="S20" s="29"/>
      <c r="T20" s="29"/>
      <c r="U20" s="30"/>
    </row>
    <row r="21" spans="1:21" ht="13.5" thickBot="1" x14ac:dyDescent="0.25">
      <c r="A21" s="25"/>
      <c r="B21" s="40">
        <v>5</v>
      </c>
      <c r="C21" s="41" t="str">
        <f>IF(B21="","",INDEX(Calculos!$CO$4:$CO$75,MATCH(B21,Calculos!$CN$4:$CN$75,0)))</f>
        <v>24-Jun · Cd. México</v>
      </c>
      <c r="D21" s="42" t="str">
        <f>Calculos!E4</f>
        <v>CHEQUIA</v>
      </c>
      <c r="E21" s="17"/>
      <c r="F21" s="43" t="s">
        <v>8</v>
      </c>
      <c r="G21" s="107" t="str">
        <f>Calculos!B4</f>
        <v>MEXICO</v>
      </c>
      <c r="H21" s="107"/>
      <c r="I21" s="17"/>
      <c r="J21" s="29"/>
      <c r="K21" s="55">
        <v>4</v>
      </c>
      <c r="L21" s="56" t="str">
        <f>IF(COUNT($E$17:$E$22,$I$17:$I$22)=0,"",INDEX(Calculos!$A$30:$A$33,MATCH(4,Calculos!$K$30:$K$33,0)))</f>
        <v/>
      </c>
      <c r="M21" s="57" t="str">
        <f>IF(COUNT($E$17:$E$22,$I$17:$I$22)=0,"",INDEX(Calculos!$F$30:$F$33,MATCH(4,Calculos!$K$30:$K$33,0)))</f>
        <v/>
      </c>
      <c r="N21" s="58" t="str">
        <f>IF(COUNT($E$17:$E$22,$I$17:$I$22)=0,"",INDEX(Calculos!$I$30:$I$33,MATCH(4,Calculos!$K$30:$K$33,0)))</f>
        <v/>
      </c>
      <c r="O21" s="29"/>
      <c r="P21" s="29"/>
      <c r="Q21" s="29"/>
      <c r="R21" s="29"/>
      <c r="S21" s="29"/>
      <c r="T21" s="29"/>
      <c r="U21" s="30"/>
    </row>
    <row r="22" spans="1:21" ht="13.5" thickBot="1" x14ac:dyDescent="0.25">
      <c r="A22" s="25"/>
      <c r="B22" s="40">
        <v>6</v>
      </c>
      <c r="C22" s="41" t="str">
        <f>IF(B22="","",INDEX(Calculos!$CO$4:$CO$75,MATCH(B22,Calculos!$CN$4:$CN$75,0)))</f>
        <v>24-Jun · Monterrey</v>
      </c>
      <c r="D22" s="42" t="str">
        <f>Calculos!C4</f>
        <v>SUDAFRICA</v>
      </c>
      <c r="E22" s="17"/>
      <c r="F22" s="43" t="s">
        <v>8</v>
      </c>
      <c r="G22" s="107" t="str">
        <f>Calculos!D4</f>
        <v>COREA DEL SUR</v>
      </c>
      <c r="H22" s="107"/>
      <c r="I22" s="17"/>
      <c r="J22" s="29"/>
      <c r="K22" s="28"/>
      <c r="L22" s="27"/>
      <c r="M22" s="26"/>
      <c r="N22" s="26"/>
      <c r="O22" s="29"/>
      <c r="P22" s="29"/>
      <c r="Q22" s="29"/>
      <c r="R22" s="29"/>
      <c r="S22" s="29"/>
      <c r="T22" s="29"/>
      <c r="U22" s="30"/>
    </row>
    <row r="23" spans="1:21" ht="13.5" thickBot="1" x14ac:dyDescent="0.25">
      <c r="A23" s="25"/>
      <c r="B23" s="109" t="s">
        <v>22</v>
      </c>
      <c r="C23" s="109"/>
      <c r="D23" s="109"/>
      <c r="E23" s="109"/>
      <c r="F23" s="109"/>
      <c r="G23" s="109"/>
      <c r="H23" s="109"/>
      <c r="I23" s="109"/>
      <c r="J23" s="29"/>
      <c r="K23" s="92" t="s">
        <v>23</v>
      </c>
      <c r="L23" s="93"/>
      <c r="M23" s="93"/>
      <c r="N23" s="94"/>
      <c r="O23" s="29"/>
      <c r="P23" s="29"/>
      <c r="Q23" s="29"/>
      <c r="R23" s="29"/>
      <c r="S23" s="29"/>
      <c r="T23" s="29"/>
      <c r="U23" s="30"/>
    </row>
    <row r="24" spans="1:21" ht="13.5" hidden="1" customHeight="1" thickBot="1" x14ac:dyDescent="0.25">
      <c r="A24" s="25"/>
      <c r="B24" s="59" t="s">
        <v>5</v>
      </c>
      <c r="C24" s="60" t="s">
        <v>826</v>
      </c>
      <c r="D24" s="59" t="s">
        <v>6</v>
      </c>
      <c r="E24" s="59" t="s">
        <v>7</v>
      </c>
      <c r="F24" s="59" t="s">
        <v>8</v>
      </c>
      <c r="G24" s="108" t="s">
        <v>9</v>
      </c>
      <c r="H24" s="108"/>
      <c r="I24" s="59" t="s">
        <v>10</v>
      </c>
      <c r="J24" s="29"/>
      <c r="K24" s="39"/>
      <c r="L24" s="29"/>
      <c r="M24" s="29"/>
      <c r="N24" s="29"/>
      <c r="O24" s="29"/>
      <c r="P24" s="29"/>
      <c r="Q24" s="29"/>
      <c r="R24" s="29"/>
      <c r="S24" s="29"/>
      <c r="T24" s="29"/>
      <c r="U24" s="30"/>
    </row>
    <row r="25" spans="1:21" x14ac:dyDescent="0.2">
      <c r="A25" s="25"/>
      <c r="B25" s="40">
        <v>7</v>
      </c>
      <c r="C25" s="41" t="str">
        <f>IF(B25="","",INDEX(Calculos!$CO$4:$CO$75,MATCH(B25,Calculos!$CN$4:$CN$75,0)))</f>
        <v>12-Jun · Toronto</v>
      </c>
      <c r="D25" s="42" t="str">
        <f>Calculos!B5</f>
        <v>CANADA</v>
      </c>
      <c r="E25" s="17"/>
      <c r="F25" s="43" t="s">
        <v>8</v>
      </c>
      <c r="G25" s="107" t="str">
        <f>Calculos!C5</f>
        <v>BOSNIA Y HERZEGOVINA</v>
      </c>
      <c r="H25" s="107"/>
      <c r="I25" s="17"/>
      <c r="J25" s="29"/>
      <c r="K25" s="61" t="s">
        <v>12</v>
      </c>
      <c r="L25" s="45" t="s">
        <v>13</v>
      </c>
      <c r="M25" s="45" t="s">
        <v>18</v>
      </c>
      <c r="N25" s="46" t="s">
        <v>19</v>
      </c>
      <c r="O25" s="29"/>
      <c r="P25" s="29"/>
      <c r="Q25" s="29"/>
      <c r="R25" s="29"/>
      <c r="S25" s="29"/>
      <c r="T25" s="29"/>
      <c r="U25" s="30"/>
    </row>
    <row r="26" spans="1:21" ht="14.25" customHeight="1" x14ac:dyDescent="0.2">
      <c r="A26" s="25"/>
      <c r="B26" s="40">
        <v>8</v>
      </c>
      <c r="C26" s="41" t="str">
        <f>IF(B26="","",INDEX(Calculos!$CO$4:$CO$75,MATCH(B26,Calculos!$CN$4:$CN$75,0)))</f>
        <v>13-Jun · San Francisco</v>
      </c>
      <c r="D26" s="42" t="str">
        <f>Calculos!D5</f>
        <v>QATAR</v>
      </c>
      <c r="E26" s="17"/>
      <c r="F26" s="43" t="s">
        <v>8</v>
      </c>
      <c r="G26" s="107" t="str">
        <f>Calculos!E5</f>
        <v>SUIZA</v>
      </c>
      <c r="H26" s="107"/>
      <c r="I26" s="17"/>
      <c r="J26" s="29"/>
      <c r="K26" s="62">
        <v>1</v>
      </c>
      <c r="L26" s="63" t="str">
        <f>IF(COUNT($E$25:$E$30,$I$25:$I$30)=0,"",INDEX(Calculos!$A$44:$A$47,MATCH(1,Calculos!$K$44:$K$47,0)))</f>
        <v/>
      </c>
      <c r="M26" s="64" t="str">
        <f>IF(COUNT($E$25:$E$30,$I$25:$I$30)=0,"",INDEX(Calculos!$F$44:$F$47,MATCH(1,Calculos!$K$44:$K$47,0)))</f>
        <v/>
      </c>
      <c r="N26" s="65" t="str">
        <f>IF(COUNT($E$25:$E$30,$I$25:$I$30)=0,"",INDEX(Calculos!$I$44:$I$47,MATCH(1,Calculos!$K$44:$K$47,0)))</f>
        <v/>
      </c>
      <c r="O26" s="29"/>
      <c r="P26" s="29"/>
      <c r="Q26" s="29"/>
      <c r="R26" s="29"/>
      <c r="S26" s="29"/>
      <c r="T26" s="29"/>
      <c r="U26" s="30"/>
    </row>
    <row r="27" spans="1:21" x14ac:dyDescent="0.2">
      <c r="A27" s="25"/>
      <c r="B27" s="40">
        <v>9</v>
      </c>
      <c r="C27" s="41" t="str">
        <f>IF(B27="","",INDEX(Calculos!$CO$4:$CO$75,MATCH(B27,Calculos!$CN$4:$CN$75,0)))</f>
        <v>18-Jun · Los Ángeles</v>
      </c>
      <c r="D27" s="42" t="str">
        <f>Calculos!E5</f>
        <v>SUIZA</v>
      </c>
      <c r="E27" s="17"/>
      <c r="F27" s="43" t="s">
        <v>8</v>
      </c>
      <c r="G27" s="107" t="str">
        <f>Calculos!C5</f>
        <v>BOSNIA Y HERZEGOVINA</v>
      </c>
      <c r="H27" s="107"/>
      <c r="I27" s="17"/>
      <c r="J27" s="29"/>
      <c r="K27" s="66">
        <v>2</v>
      </c>
      <c r="L27" s="67" t="str">
        <f>IF(COUNT($E$25:$E$30,$I$25:$I$30)=0,"",INDEX(Calculos!$A$44:$A$47,MATCH(2,Calculos!$K$44:$K$47,0)))</f>
        <v/>
      </c>
      <c r="M27" s="68" t="str">
        <f>IF(COUNT($E$25:$E$30,$I$25:$I$30)=0,"",INDEX(Calculos!$F$44:$F$47,MATCH(2,Calculos!$K$44:$K$47,0)))</f>
        <v/>
      </c>
      <c r="N27" s="69" t="str">
        <f>IF(COUNT($E$25:$E$30,$I$25:$I$30)=0,"",INDEX(Calculos!$I$44:$I$47,MATCH(2,Calculos!$K$44:$K$47,0)))</f>
        <v/>
      </c>
      <c r="O27" s="29"/>
      <c r="P27" s="29"/>
      <c r="Q27" s="29"/>
      <c r="R27" s="29"/>
      <c r="S27" s="29"/>
      <c r="T27" s="29"/>
      <c r="U27" s="30"/>
    </row>
    <row r="28" spans="1:21" x14ac:dyDescent="0.2">
      <c r="A28" s="25"/>
      <c r="B28" s="40">
        <v>10</v>
      </c>
      <c r="C28" s="41" t="str">
        <f>IF(B28="","",INDEX(Calculos!$CO$4:$CO$75,MATCH(B28,Calculos!$CN$4:$CN$75,0)))</f>
        <v>18-Jun · Vancouver</v>
      </c>
      <c r="D28" s="42" t="str">
        <f>Calculos!B5</f>
        <v>CANADA</v>
      </c>
      <c r="E28" s="17"/>
      <c r="F28" s="43" t="s">
        <v>8</v>
      </c>
      <c r="G28" s="107" t="str">
        <f>Calculos!D5</f>
        <v>QATAR</v>
      </c>
      <c r="H28" s="107"/>
      <c r="I28" s="17"/>
      <c r="J28" s="29"/>
      <c r="K28" s="66">
        <v>3</v>
      </c>
      <c r="L28" s="67" t="str">
        <f>IF(COUNT($E$25:$E$30,$I$25:$I$30)=0,"",INDEX(Calculos!$A$44:$A$47,MATCH(3,Calculos!$K$44:$K$47,0)))</f>
        <v/>
      </c>
      <c r="M28" s="68" t="str">
        <f>IF(COUNT($E$25:$E$30,$I$25:$I$30)=0,"",INDEX(Calculos!$F$44:$F$47,MATCH(3,Calculos!$K$44:$K$47,0)))</f>
        <v/>
      </c>
      <c r="N28" s="69" t="str">
        <f>IF(COUNT($E$25:$E$30,$I$25:$I$30)=0,"",INDEX(Calculos!$I$44:$I$47,MATCH(3,Calculos!$K$44:$K$47,0)))</f>
        <v/>
      </c>
      <c r="O28" s="29"/>
      <c r="P28" s="29"/>
      <c r="Q28" s="29"/>
      <c r="R28" s="29"/>
      <c r="S28" s="29"/>
      <c r="T28" s="29"/>
      <c r="U28" s="30"/>
    </row>
    <row r="29" spans="1:21" ht="13.5" thickBot="1" x14ac:dyDescent="0.25">
      <c r="A29" s="25"/>
      <c r="B29" s="40">
        <v>11</v>
      </c>
      <c r="C29" s="41" t="str">
        <f>IF(B29="","",INDEX(Calculos!$CO$4:$CO$75,MATCH(B29,Calculos!$CN$4:$CN$75,0)))</f>
        <v>24-Jun · Vancouver</v>
      </c>
      <c r="D29" s="42" t="str">
        <f>Calculos!E5</f>
        <v>SUIZA</v>
      </c>
      <c r="E29" s="17"/>
      <c r="F29" s="43" t="s">
        <v>8</v>
      </c>
      <c r="G29" s="107" t="str">
        <f>Calculos!B5</f>
        <v>CANADA</v>
      </c>
      <c r="H29" s="107"/>
      <c r="I29" s="17"/>
      <c r="J29" s="29"/>
      <c r="K29" s="70">
        <v>4</v>
      </c>
      <c r="L29" s="71" t="str">
        <f>IF(COUNT($E$25:$E$30,$I$25:$I$30)=0,"",INDEX(Calculos!$A$44:$A$47,MATCH(4,Calculos!$K$44:$K$47,0)))</f>
        <v/>
      </c>
      <c r="M29" s="72" t="str">
        <f>IF(COUNT($E$25:$E$30,$I$25:$I$30)=0,"",INDEX(Calculos!$F$44:$F$47,MATCH(4,Calculos!$K$44:$K$47,0)))</f>
        <v/>
      </c>
      <c r="N29" s="73" t="str">
        <f>IF(COUNT($E$25:$E$30,$I$25:$I$30)=0,"",INDEX(Calculos!$I$44:$I$47,MATCH(4,Calculos!$K$44:$K$47,0)))</f>
        <v/>
      </c>
      <c r="O29" s="29"/>
      <c r="P29" s="29"/>
      <c r="Q29" s="29"/>
      <c r="R29" s="29"/>
      <c r="S29" s="29"/>
      <c r="T29" s="29"/>
      <c r="U29" s="30"/>
    </row>
    <row r="30" spans="1:21" ht="13.5" thickBot="1" x14ac:dyDescent="0.25">
      <c r="A30" s="25"/>
      <c r="B30" s="40">
        <v>12</v>
      </c>
      <c r="C30" s="41" t="str">
        <f>IF(B30="","",INDEX(Calculos!$CO$4:$CO$75,MATCH(B30,Calculos!$CN$4:$CN$75,0)))</f>
        <v>24-Jun · Seattle</v>
      </c>
      <c r="D30" s="42" t="str">
        <f>Calculos!C5</f>
        <v>BOSNIA Y HERZEGOVINA</v>
      </c>
      <c r="E30" s="17"/>
      <c r="F30" s="43" t="s">
        <v>8</v>
      </c>
      <c r="G30" s="107" t="str">
        <f>Calculos!D5</f>
        <v>QATAR</v>
      </c>
      <c r="H30" s="107"/>
      <c r="I30" s="17"/>
      <c r="J30" s="29"/>
      <c r="K30" s="28"/>
      <c r="L30" s="27"/>
      <c r="M30" s="26"/>
      <c r="N30" s="26"/>
      <c r="O30" s="29"/>
      <c r="P30" s="29"/>
      <c r="Q30" s="29"/>
      <c r="R30" s="29"/>
      <c r="S30" s="29"/>
      <c r="T30" s="29"/>
      <c r="U30" s="30"/>
    </row>
    <row r="31" spans="1:21" ht="13.5" thickBot="1" x14ac:dyDescent="0.25">
      <c r="A31" s="25"/>
      <c r="B31" s="109" t="s">
        <v>24</v>
      </c>
      <c r="C31" s="109"/>
      <c r="D31" s="109"/>
      <c r="E31" s="109"/>
      <c r="F31" s="109"/>
      <c r="G31" s="109"/>
      <c r="H31" s="109"/>
      <c r="I31" s="109"/>
      <c r="J31" s="29"/>
      <c r="K31" s="92" t="s">
        <v>25</v>
      </c>
      <c r="L31" s="93"/>
      <c r="M31" s="93"/>
      <c r="N31" s="94"/>
      <c r="O31" s="29"/>
      <c r="P31" s="29"/>
      <c r="Q31" s="29"/>
      <c r="R31" s="29"/>
      <c r="S31" s="29"/>
      <c r="T31" s="29"/>
      <c r="U31" s="30"/>
    </row>
    <row r="32" spans="1:21" ht="13.5" hidden="1" thickBot="1" x14ac:dyDescent="0.25">
      <c r="A32" s="25"/>
      <c r="B32" s="59" t="s">
        <v>5</v>
      </c>
      <c r="C32" s="60" t="s">
        <v>826</v>
      </c>
      <c r="D32" s="59" t="s">
        <v>6</v>
      </c>
      <c r="E32" s="59" t="s">
        <v>7</v>
      </c>
      <c r="F32" s="59" t="s">
        <v>8</v>
      </c>
      <c r="G32" s="108" t="s">
        <v>9</v>
      </c>
      <c r="H32" s="108"/>
      <c r="I32" s="59" t="s">
        <v>10</v>
      </c>
      <c r="J32" s="29"/>
      <c r="K32" s="39"/>
      <c r="L32" s="29"/>
      <c r="M32" s="29"/>
      <c r="N32" s="29"/>
      <c r="O32" s="29"/>
      <c r="P32" s="29"/>
      <c r="Q32" s="29"/>
      <c r="R32" s="29"/>
      <c r="S32" s="29"/>
      <c r="T32" s="29"/>
      <c r="U32" s="30"/>
    </row>
    <row r="33" spans="1:21" x14ac:dyDescent="0.2">
      <c r="A33" s="25"/>
      <c r="B33" s="40">
        <v>13</v>
      </c>
      <c r="C33" s="41" t="str">
        <f>IF(B33="","",INDEX(Calculos!$CO$4:$CO$75,MATCH(B33,Calculos!$CN$4:$CN$75,0)))</f>
        <v>13-Jun · Nueva York</v>
      </c>
      <c r="D33" s="42" t="str">
        <f>Calculos!B6</f>
        <v>BRASIL</v>
      </c>
      <c r="E33" s="17"/>
      <c r="F33" s="43" t="s">
        <v>8</v>
      </c>
      <c r="G33" s="107" t="str">
        <f>Calculos!C6</f>
        <v>MARRUECOS</v>
      </c>
      <c r="H33" s="107"/>
      <c r="I33" s="17"/>
      <c r="J33" s="29"/>
      <c r="K33" s="44" t="s">
        <v>12</v>
      </c>
      <c r="L33" s="45" t="s">
        <v>13</v>
      </c>
      <c r="M33" s="45" t="s">
        <v>18</v>
      </c>
      <c r="N33" s="46" t="s">
        <v>19</v>
      </c>
      <c r="O33" s="29"/>
      <c r="P33" s="29"/>
      <c r="Q33" s="29"/>
      <c r="R33" s="29"/>
      <c r="S33" s="29"/>
      <c r="T33" s="29"/>
      <c r="U33" s="30"/>
    </row>
    <row r="34" spans="1:21" x14ac:dyDescent="0.2">
      <c r="A34" s="25"/>
      <c r="B34" s="40">
        <v>14</v>
      </c>
      <c r="C34" s="41" t="str">
        <f>IF(B34="","",INDEX(Calculos!$CO$4:$CO$75,MATCH(B34,Calculos!$CN$4:$CN$75,0)))</f>
        <v>13-Jun · Boston</v>
      </c>
      <c r="D34" s="42" t="str">
        <f>Calculos!D6</f>
        <v>HAITI</v>
      </c>
      <c r="E34" s="17"/>
      <c r="F34" s="43" t="s">
        <v>8</v>
      </c>
      <c r="G34" s="107" t="str">
        <f>Calculos!E6</f>
        <v>ESCOCIA</v>
      </c>
      <c r="H34" s="107"/>
      <c r="I34" s="17"/>
      <c r="J34" s="29"/>
      <c r="K34" s="47">
        <v>1</v>
      </c>
      <c r="L34" s="48" t="str">
        <f>IF(COUNT($E$33:$E$38,$I$33:$I$38)=0,"",INDEX(Calculos!$A$58:$A$61,MATCH(1,Calculos!$K$58:$K$61,0)))</f>
        <v/>
      </c>
      <c r="M34" s="49" t="str">
        <f>IF(COUNT($E$33:$E$38,$I$33:$I$38)=0,"",INDEX(Calculos!$F$58:$F$61,MATCH(1,Calculos!$K$58:$K$61,0)))</f>
        <v/>
      </c>
      <c r="N34" s="50" t="str">
        <f>IF(COUNT($E$33:$E$38,$I$33:$I$38)=0,"",INDEX(Calculos!$I$58:$I$61,MATCH(1,Calculos!$K$58:$K$61,0)))</f>
        <v/>
      </c>
      <c r="O34" s="29"/>
      <c r="P34" s="29"/>
      <c r="Q34" s="29"/>
      <c r="R34" s="29"/>
      <c r="S34" s="29"/>
      <c r="T34" s="29"/>
      <c r="U34" s="30"/>
    </row>
    <row r="35" spans="1:21" x14ac:dyDescent="0.2">
      <c r="A35" s="25"/>
      <c r="B35" s="40">
        <v>15</v>
      </c>
      <c r="C35" s="41" t="str">
        <f>IF(B35="","",INDEX(Calculos!$CO$4:$CO$75,MATCH(B35,Calculos!$CN$4:$CN$75,0)))</f>
        <v>19-Jun · Boston</v>
      </c>
      <c r="D35" s="42" t="str">
        <f>Calculos!E6</f>
        <v>ESCOCIA</v>
      </c>
      <c r="E35" s="17"/>
      <c r="F35" s="43" t="s">
        <v>8</v>
      </c>
      <c r="G35" s="107" t="str">
        <f>Calculos!C6</f>
        <v>MARRUECOS</v>
      </c>
      <c r="H35" s="107"/>
      <c r="I35" s="17"/>
      <c r="J35" s="29"/>
      <c r="K35" s="51">
        <v>2</v>
      </c>
      <c r="L35" s="52" t="str">
        <f>IF(COUNT($E$33:$E$38,$I$33:$I$38)=0,"",INDEX(Calculos!$A$58:$A$61,MATCH(2,Calculos!$K$58:$K$61,0)))</f>
        <v/>
      </c>
      <c r="M35" s="53" t="str">
        <f>IF(COUNT($E$33:$E$38,$I$33:$I$38)=0,"",INDEX(Calculos!$F$58:$F$61,MATCH(2,Calculos!$K$58:$K$61,0)))</f>
        <v/>
      </c>
      <c r="N35" s="54" t="str">
        <f>IF(COUNT($E$33:$E$38,$I$33:$I$38)=0,"",INDEX(Calculos!$I$58:$I$61,MATCH(2,Calculos!$K$58:$K$61,0)))</f>
        <v/>
      </c>
      <c r="O35" s="29"/>
      <c r="P35" s="29"/>
      <c r="Q35" s="29"/>
      <c r="R35" s="29"/>
      <c r="S35" s="29"/>
      <c r="T35" s="29"/>
      <c r="U35" s="30"/>
    </row>
    <row r="36" spans="1:21" x14ac:dyDescent="0.2">
      <c r="A36" s="25"/>
      <c r="B36" s="40">
        <v>16</v>
      </c>
      <c r="C36" s="41" t="str">
        <f>IF(B36="","",INDEX(Calculos!$CO$4:$CO$75,MATCH(B36,Calculos!$CN$4:$CN$75,0)))</f>
        <v>19-Jun · Filadelfia</v>
      </c>
      <c r="D36" s="42" t="str">
        <f>Calculos!B6</f>
        <v>BRASIL</v>
      </c>
      <c r="E36" s="17"/>
      <c r="F36" s="43" t="s">
        <v>8</v>
      </c>
      <c r="G36" s="107" t="str">
        <f>Calculos!D6</f>
        <v>HAITI</v>
      </c>
      <c r="H36" s="107"/>
      <c r="I36" s="17"/>
      <c r="J36" s="29"/>
      <c r="K36" s="51">
        <v>3</v>
      </c>
      <c r="L36" s="52" t="str">
        <f>IF(COUNT($E$33:$E$38,$I$33:$I$38)=0,"",INDEX(Calculos!$A$58:$A$61,MATCH(3,Calculos!$K$58:$K$61,0)))</f>
        <v/>
      </c>
      <c r="M36" s="53" t="str">
        <f>IF(COUNT($E$33:$E$38,$I$33:$I$38)=0,"",INDEX(Calculos!$F$58:$F$61,MATCH(3,Calculos!$K$58:$K$61,0)))</f>
        <v/>
      </c>
      <c r="N36" s="54" t="str">
        <f>IF(COUNT($E$33:$E$38,$I$33:$I$38)=0,"",INDEX(Calculos!$I$58:$I$61,MATCH(3,Calculos!$K$58:$K$61,0)))</f>
        <v/>
      </c>
      <c r="O36" s="29"/>
      <c r="P36" s="29"/>
      <c r="Q36" s="29"/>
      <c r="R36" s="29"/>
      <c r="S36" s="29"/>
      <c r="T36" s="29"/>
      <c r="U36" s="30"/>
    </row>
    <row r="37" spans="1:21" ht="13.5" thickBot="1" x14ac:dyDescent="0.25">
      <c r="A37" s="25"/>
      <c r="B37" s="40">
        <v>17</v>
      </c>
      <c r="C37" s="41" t="str">
        <f>IF(B37="","",INDEX(Calculos!$CO$4:$CO$75,MATCH(B37,Calculos!$CN$4:$CN$75,0)))</f>
        <v>24-Jun · Miami</v>
      </c>
      <c r="D37" s="42" t="str">
        <f>Calculos!E6</f>
        <v>ESCOCIA</v>
      </c>
      <c r="E37" s="17"/>
      <c r="F37" s="43" t="s">
        <v>8</v>
      </c>
      <c r="G37" s="107" t="str">
        <f>Calculos!B6</f>
        <v>BRASIL</v>
      </c>
      <c r="H37" s="107"/>
      <c r="I37" s="17"/>
      <c r="J37" s="29"/>
      <c r="K37" s="55">
        <v>4</v>
      </c>
      <c r="L37" s="56" t="str">
        <f>IF(COUNT($E$33:$E$38,$I$33:$I$38)=0,"",INDEX(Calculos!$A$58:$A$61,MATCH(4,Calculos!$K$58:$K$61,0)))</f>
        <v/>
      </c>
      <c r="M37" s="57" t="str">
        <f>IF(COUNT($E$33:$E$38,$I$33:$I$38)=0,"",INDEX(Calculos!$F$58:$F$61,MATCH(4,Calculos!$K$58:$K$61,0)))</f>
        <v/>
      </c>
      <c r="N37" s="58" t="str">
        <f>IF(COUNT($E$33:$E$38,$I$33:$I$38)=0,"",INDEX(Calculos!$I$58:$I$61,MATCH(4,Calculos!$K$58:$K$61,0)))</f>
        <v/>
      </c>
      <c r="O37" s="29"/>
      <c r="P37" s="29"/>
      <c r="Q37" s="29"/>
      <c r="R37" s="29"/>
      <c r="S37" s="29"/>
      <c r="T37" s="29"/>
      <c r="U37" s="30"/>
    </row>
    <row r="38" spans="1:21" ht="13.5" thickBot="1" x14ac:dyDescent="0.25">
      <c r="A38" s="25"/>
      <c r="B38" s="40">
        <v>18</v>
      </c>
      <c r="C38" s="41" t="str">
        <f>IF(B38="","",INDEX(Calculos!$CO$4:$CO$75,MATCH(B38,Calculos!$CN$4:$CN$75,0)))</f>
        <v>24-Jun · Atlanta</v>
      </c>
      <c r="D38" s="42" t="str">
        <f>Calculos!C6</f>
        <v>MARRUECOS</v>
      </c>
      <c r="E38" s="17"/>
      <c r="F38" s="43" t="s">
        <v>8</v>
      </c>
      <c r="G38" s="107" t="str">
        <f>Calculos!D6</f>
        <v>HAITI</v>
      </c>
      <c r="H38" s="107"/>
      <c r="I38" s="17"/>
      <c r="J38" s="29"/>
      <c r="K38" s="28"/>
      <c r="L38" s="27"/>
      <c r="M38" s="26"/>
      <c r="N38" s="26"/>
      <c r="O38" s="29"/>
      <c r="P38" s="29"/>
      <c r="Q38" s="29"/>
      <c r="R38" s="29"/>
      <c r="S38" s="29"/>
      <c r="T38" s="29"/>
      <c r="U38" s="30"/>
    </row>
    <row r="39" spans="1:21" ht="13.5" thickBot="1" x14ac:dyDescent="0.25">
      <c r="A39" s="25"/>
      <c r="B39" s="109" t="s">
        <v>26</v>
      </c>
      <c r="C39" s="109"/>
      <c r="D39" s="109"/>
      <c r="E39" s="109"/>
      <c r="F39" s="109"/>
      <c r="G39" s="109"/>
      <c r="H39" s="109"/>
      <c r="I39" s="109"/>
      <c r="J39" s="29"/>
      <c r="K39" s="92" t="s">
        <v>27</v>
      </c>
      <c r="L39" s="93"/>
      <c r="M39" s="93"/>
      <c r="N39" s="94"/>
      <c r="O39" s="29"/>
      <c r="P39" s="29"/>
      <c r="Q39" s="29"/>
      <c r="R39" s="29"/>
      <c r="S39" s="29"/>
      <c r="T39" s="29"/>
      <c r="U39" s="30"/>
    </row>
    <row r="40" spans="1:21" ht="13.5" hidden="1" thickBot="1" x14ac:dyDescent="0.25">
      <c r="A40" s="25"/>
      <c r="B40" s="59" t="s">
        <v>5</v>
      </c>
      <c r="C40" s="60" t="s">
        <v>826</v>
      </c>
      <c r="D40" s="59" t="s">
        <v>6</v>
      </c>
      <c r="E40" s="59" t="s">
        <v>7</v>
      </c>
      <c r="F40" s="59" t="s">
        <v>8</v>
      </c>
      <c r="G40" s="108" t="s">
        <v>9</v>
      </c>
      <c r="H40" s="108"/>
      <c r="I40" s="59" t="s">
        <v>10</v>
      </c>
      <c r="J40" s="29"/>
      <c r="K40" s="39"/>
      <c r="L40" s="29"/>
      <c r="M40" s="29"/>
      <c r="N40" s="29"/>
      <c r="O40" s="29"/>
      <c r="P40" s="29"/>
      <c r="Q40" s="29"/>
      <c r="R40" s="29"/>
      <c r="S40" s="29"/>
      <c r="T40" s="29"/>
      <c r="U40" s="30"/>
    </row>
    <row r="41" spans="1:21" x14ac:dyDescent="0.2">
      <c r="A41" s="25"/>
      <c r="B41" s="40">
        <v>19</v>
      </c>
      <c r="C41" s="41" t="str">
        <f>IF(B41="","",INDEX(Calculos!$CO$4:$CO$75,MATCH(B41,Calculos!$CN$4:$CN$75,0)))</f>
        <v>12-Jun · Los Ángeles</v>
      </c>
      <c r="D41" s="42" t="str">
        <f>Calculos!B7</f>
        <v>USA</v>
      </c>
      <c r="E41" s="17"/>
      <c r="F41" s="43" t="s">
        <v>8</v>
      </c>
      <c r="G41" s="107" t="str">
        <f>Calculos!C7</f>
        <v>PARAGUAY</v>
      </c>
      <c r="H41" s="107"/>
      <c r="I41" s="17"/>
      <c r="J41" s="29"/>
      <c r="K41" s="44" t="s">
        <v>12</v>
      </c>
      <c r="L41" s="45" t="s">
        <v>13</v>
      </c>
      <c r="M41" s="45" t="s">
        <v>18</v>
      </c>
      <c r="N41" s="46" t="s">
        <v>19</v>
      </c>
      <c r="O41" s="29"/>
      <c r="P41" s="29"/>
      <c r="Q41" s="29"/>
      <c r="R41" s="29"/>
      <c r="S41" s="29"/>
      <c r="T41" s="29"/>
      <c r="U41" s="30"/>
    </row>
    <row r="42" spans="1:21" ht="12.75" customHeight="1" x14ac:dyDescent="0.2">
      <c r="A42" s="25"/>
      <c r="B42" s="40">
        <v>20</v>
      </c>
      <c r="C42" s="41" t="str">
        <f>IF(B42="","",INDEX(Calculos!$CO$4:$CO$75,MATCH(B42,Calculos!$CN$4:$CN$75,0)))</f>
        <v>14-Jun · Vancouver</v>
      </c>
      <c r="D42" s="42" t="str">
        <f>Calculos!D7</f>
        <v>AUSTRALIA</v>
      </c>
      <c r="E42" s="17"/>
      <c r="F42" s="43" t="s">
        <v>8</v>
      </c>
      <c r="G42" s="107" t="str">
        <f>Calculos!E7</f>
        <v>TURQUIA</v>
      </c>
      <c r="H42" s="107"/>
      <c r="I42" s="17"/>
      <c r="J42" s="29"/>
      <c r="K42" s="47">
        <v>1</v>
      </c>
      <c r="L42" s="48" t="str">
        <f>IF(COUNT($E$41:$E$46,$I$41:$I$46)=0,"",INDEX(Calculos!$A$72:$A$75,MATCH(1,Calculos!$K$72:$K$75,0)))</f>
        <v/>
      </c>
      <c r="M42" s="49" t="str">
        <f>IF(COUNT($E$41:$E$46,$I$41:$I$46)=0,"",INDEX(Calculos!$F$72:$F$75,MATCH(1,Calculos!$K$72:$K$75,0)))</f>
        <v/>
      </c>
      <c r="N42" s="50" t="str">
        <f>IF(COUNT($E$41:$E$46,$I$41:$I$46)=0,"",INDEX(Calculos!$I$72:$I$75,MATCH(1,Calculos!$K$72:$K$75,0)))</f>
        <v/>
      </c>
      <c r="O42" s="29"/>
      <c r="P42" s="29"/>
      <c r="Q42" s="29"/>
      <c r="R42" s="29"/>
      <c r="S42" s="29"/>
      <c r="T42" s="29"/>
      <c r="U42" s="30"/>
    </row>
    <row r="43" spans="1:21" x14ac:dyDescent="0.2">
      <c r="A43" s="25"/>
      <c r="B43" s="40">
        <v>21</v>
      </c>
      <c r="C43" s="41" t="str">
        <f>IF(B43="","",INDEX(Calculos!$CO$4:$CO$75,MATCH(B43,Calculos!$CN$4:$CN$75,0)))</f>
        <v>19-Jun · Seattle</v>
      </c>
      <c r="D43" s="42" t="str">
        <f>Calculos!B7</f>
        <v>USA</v>
      </c>
      <c r="E43" s="17"/>
      <c r="F43" s="43" t="s">
        <v>8</v>
      </c>
      <c r="G43" s="107" t="str">
        <f>Calculos!D7</f>
        <v>AUSTRALIA</v>
      </c>
      <c r="H43" s="107"/>
      <c r="I43" s="17"/>
      <c r="J43" s="29"/>
      <c r="K43" s="51">
        <v>2</v>
      </c>
      <c r="L43" s="52" t="str">
        <f>IF(COUNT($E$41:$E$46,$I$41:$I$46)=0,"",INDEX(Calculos!$A$72:$A$75,MATCH(2,Calculos!$K$72:$K$75,0)))</f>
        <v/>
      </c>
      <c r="M43" s="53" t="str">
        <f>IF(COUNT($E$41:$E$46,$I$41:$I$46)=0,"",INDEX(Calculos!$F$72:$F$75,MATCH(2,Calculos!$K$72:$K$75,0)))</f>
        <v/>
      </c>
      <c r="N43" s="54" t="str">
        <f>IF(COUNT($E$41:$E$46,$I$41:$I$46)=0,"",INDEX(Calculos!$I$72:$I$75,MATCH(2,Calculos!$K$72:$K$75,0)))</f>
        <v/>
      </c>
      <c r="O43" s="29"/>
      <c r="P43" s="29"/>
      <c r="Q43" s="29"/>
      <c r="R43" s="29"/>
      <c r="S43" s="29"/>
      <c r="T43" s="29"/>
      <c r="U43" s="30"/>
    </row>
    <row r="44" spans="1:21" ht="12.75" customHeight="1" x14ac:dyDescent="0.2">
      <c r="A44" s="25"/>
      <c r="B44" s="40">
        <v>22</v>
      </c>
      <c r="C44" s="41" t="str">
        <f>IF(B44="","",INDEX(Calculos!$CO$4:$CO$75,MATCH(B44,Calculos!$CN$4:$CN$75,0)))</f>
        <v>19-Jun · San Francisco</v>
      </c>
      <c r="D44" s="42" t="str">
        <f>Calculos!E7</f>
        <v>TURQUIA</v>
      </c>
      <c r="E44" s="17"/>
      <c r="F44" s="43" t="s">
        <v>8</v>
      </c>
      <c r="G44" s="107" t="str">
        <f>Calculos!C7</f>
        <v>PARAGUAY</v>
      </c>
      <c r="H44" s="107"/>
      <c r="I44" s="17"/>
      <c r="J44" s="29"/>
      <c r="K44" s="51">
        <v>3</v>
      </c>
      <c r="L44" s="52" t="str">
        <f>IF(COUNT($E$41:$E$46,$I$41:$I$46)=0,"",INDEX(Calculos!$A$72:$A$75,MATCH(3,Calculos!$K$72:$K$75,0)))</f>
        <v/>
      </c>
      <c r="M44" s="53" t="str">
        <f>IF(COUNT($E$41:$E$46,$I$41:$I$46)=0,"",INDEX(Calculos!$F$72:$F$75,MATCH(3,Calculos!$K$72:$K$75,0)))</f>
        <v/>
      </c>
      <c r="N44" s="54" t="str">
        <f>IF(COUNT($E$41:$E$46,$I$41:$I$46)=0,"",INDEX(Calculos!$I$72:$I$75,MATCH(3,Calculos!$K$72:$K$75,0)))</f>
        <v/>
      </c>
      <c r="O44" s="29"/>
      <c r="P44" s="29"/>
      <c r="Q44" s="29"/>
      <c r="R44" s="29"/>
      <c r="S44" s="29"/>
      <c r="T44" s="29"/>
      <c r="U44" s="30"/>
    </row>
    <row r="45" spans="1:21" ht="13.5" thickBot="1" x14ac:dyDescent="0.25">
      <c r="A45" s="25"/>
      <c r="B45" s="40">
        <v>23</v>
      </c>
      <c r="C45" s="41" t="str">
        <f>IF(B45="","",INDEX(Calculos!$CO$4:$CO$75,MATCH(B45,Calculos!$CN$4:$CN$75,0)))</f>
        <v>25-Jun · Los Ángeles</v>
      </c>
      <c r="D45" s="42" t="str">
        <f>Calculos!E7</f>
        <v>TURQUIA</v>
      </c>
      <c r="E45" s="17"/>
      <c r="F45" s="43" t="s">
        <v>8</v>
      </c>
      <c r="G45" s="107" t="str">
        <f>Calculos!B7</f>
        <v>USA</v>
      </c>
      <c r="H45" s="107"/>
      <c r="I45" s="17"/>
      <c r="J45" s="29"/>
      <c r="K45" s="55">
        <v>4</v>
      </c>
      <c r="L45" s="56" t="str">
        <f>IF(COUNT($E$41:$E$46,$I$41:$I$46)=0,"",INDEX(Calculos!$A$72:$A$75,MATCH(4,Calculos!$K$72:$K$75,0)))</f>
        <v/>
      </c>
      <c r="M45" s="57" t="str">
        <f>IF(COUNT($E$41:$E$46,$I$41:$I$46)=0,"",INDEX(Calculos!$F$72:$F$75,MATCH(4,Calculos!$K$72:$K$75,0)))</f>
        <v/>
      </c>
      <c r="N45" s="58" t="str">
        <f>IF(COUNT($E$41:$E$46,$I$41:$I$46)=0,"",INDEX(Calculos!$I$72:$I$75,MATCH(4,Calculos!$K$72:$K$75,0)))</f>
        <v/>
      </c>
      <c r="O45" s="29"/>
      <c r="P45" s="29"/>
      <c r="Q45" s="29"/>
      <c r="R45" s="29"/>
      <c r="S45" s="29"/>
      <c r="T45" s="29"/>
      <c r="U45" s="30"/>
    </row>
    <row r="46" spans="1:21" ht="13.5" customHeight="1" thickBot="1" x14ac:dyDescent="0.25">
      <c r="A46" s="25"/>
      <c r="B46" s="40">
        <v>24</v>
      </c>
      <c r="C46" s="41" t="str">
        <f>IF(B46="","",INDEX(Calculos!$CO$4:$CO$75,MATCH(B46,Calculos!$CN$4:$CN$75,0)))</f>
        <v>25-Jun · San Francisco</v>
      </c>
      <c r="D46" s="42" t="str">
        <f>Calculos!C7</f>
        <v>PARAGUAY</v>
      </c>
      <c r="E46" s="17"/>
      <c r="F46" s="43" t="s">
        <v>8</v>
      </c>
      <c r="G46" s="107" t="str">
        <f>Calculos!D7</f>
        <v>AUSTRALIA</v>
      </c>
      <c r="H46" s="107"/>
      <c r="I46" s="17"/>
      <c r="J46" s="29"/>
      <c r="K46" s="28"/>
      <c r="L46" s="27"/>
      <c r="M46" s="26"/>
      <c r="N46" s="26"/>
      <c r="O46" s="29"/>
      <c r="P46" s="29"/>
      <c r="Q46" s="29"/>
      <c r="R46" s="29"/>
      <c r="S46" s="29"/>
      <c r="T46" s="29"/>
      <c r="U46" s="30"/>
    </row>
    <row r="47" spans="1:21" ht="13.5" thickBot="1" x14ac:dyDescent="0.25">
      <c r="A47" s="25"/>
      <c r="B47" s="109" t="s">
        <v>28</v>
      </c>
      <c r="C47" s="109"/>
      <c r="D47" s="109"/>
      <c r="E47" s="109"/>
      <c r="F47" s="109"/>
      <c r="G47" s="109"/>
      <c r="H47" s="109"/>
      <c r="I47" s="109"/>
      <c r="J47" s="29"/>
      <c r="K47" s="92" t="s">
        <v>29</v>
      </c>
      <c r="L47" s="93"/>
      <c r="M47" s="93"/>
      <c r="N47" s="94"/>
      <c r="O47" s="29"/>
      <c r="P47" s="29"/>
      <c r="Q47" s="29"/>
      <c r="R47" s="29"/>
      <c r="S47" s="29"/>
      <c r="T47" s="29"/>
      <c r="U47" s="30"/>
    </row>
    <row r="48" spans="1:21" ht="13.5" hidden="1" thickBot="1" x14ac:dyDescent="0.25">
      <c r="A48" s="25"/>
      <c r="B48" s="59" t="s">
        <v>5</v>
      </c>
      <c r="C48" s="60" t="s">
        <v>826</v>
      </c>
      <c r="D48" s="59" t="s">
        <v>6</v>
      </c>
      <c r="E48" s="59" t="s">
        <v>7</v>
      </c>
      <c r="F48" s="59" t="s">
        <v>8</v>
      </c>
      <c r="G48" s="108" t="s">
        <v>9</v>
      </c>
      <c r="H48" s="108"/>
      <c r="I48" s="59" t="s">
        <v>10</v>
      </c>
      <c r="J48" s="29"/>
      <c r="K48" s="39"/>
      <c r="L48" s="29"/>
      <c r="M48" s="29"/>
      <c r="N48" s="29"/>
      <c r="O48" s="29"/>
      <c r="P48" s="29"/>
      <c r="Q48" s="29"/>
      <c r="R48" s="29"/>
      <c r="S48" s="29"/>
      <c r="T48" s="29"/>
      <c r="U48" s="30"/>
    </row>
    <row r="49" spans="1:21" x14ac:dyDescent="0.2">
      <c r="A49" s="25"/>
      <c r="B49" s="40">
        <v>25</v>
      </c>
      <c r="C49" s="41" t="str">
        <f>IF(B49="","",INDEX(Calculos!$CO$4:$CO$75,MATCH(B49,Calculos!$CN$4:$CN$75,0)))</f>
        <v>14-Jun · Houston</v>
      </c>
      <c r="D49" s="42" t="str">
        <f>Calculos!B8</f>
        <v>ALEMANIA</v>
      </c>
      <c r="E49" s="17"/>
      <c r="F49" s="43" t="s">
        <v>8</v>
      </c>
      <c r="G49" s="107" t="str">
        <f>Calculos!C8</f>
        <v>CURAZAO</v>
      </c>
      <c r="H49" s="107"/>
      <c r="I49" s="17"/>
      <c r="J49" s="29"/>
      <c r="K49" s="44" t="s">
        <v>12</v>
      </c>
      <c r="L49" s="45" t="s">
        <v>13</v>
      </c>
      <c r="M49" s="45" t="s">
        <v>18</v>
      </c>
      <c r="N49" s="46" t="s">
        <v>19</v>
      </c>
      <c r="O49" s="29"/>
      <c r="P49" s="29"/>
      <c r="Q49" s="29"/>
      <c r="R49" s="29"/>
      <c r="S49" s="29"/>
      <c r="T49" s="29"/>
      <c r="U49" s="30"/>
    </row>
    <row r="50" spans="1:21" x14ac:dyDescent="0.2">
      <c r="A50" s="25"/>
      <c r="B50" s="40">
        <v>26</v>
      </c>
      <c r="C50" s="41" t="str">
        <f>IF(B50="","",INDEX(Calculos!$CO$4:$CO$75,MATCH(B50,Calculos!$CN$4:$CN$75,0)))</f>
        <v>14-Jun · Filadelfia</v>
      </c>
      <c r="D50" s="42" t="str">
        <f>Calculos!D8</f>
        <v>COSTA DE MARFIL</v>
      </c>
      <c r="E50" s="17"/>
      <c r="F50" s="43" t="s">
        <v>8</v>
      </c>
      <c r="G50" s="107" t="str">
        <f>Calculos!E8</f>
        <v>ECUADOR</v>
      </c>
      <c r="H50" s="107"/>
      <c r="I50" s="17"/>
      <c r="J50" s="29"/>
      <c r="K50" s="47">
        <v>1</v>
      </c>
      <c r="L50" s="48" t="str">
        <f>IF(COUNT($E$49:$E$54,$I$49:$I$54)=0,"",INDEX(Calculos!$A$86:$A$89,MATCH(1,Calculos!$K$86:$K$89,0)))</f>
        <v/>
      </c>
      <c r="M50" s="49" t="str">
        <f>IF(COUNT($E$49:$E$54,$I$49:$I$54)=0,"",INDEX(Calculos!$F$86:$F$89,MATCH(1,Calculos!$K$86:$K$89,0)))</f>
        <v/>
      </c>
      <c r="N50" s="50" t="str">
        <f>IF(COUNT($E$49:$E$54,$I$49:$I$54)=0,"",INDEX(Calculos!$I$86:$I$89,MATCH(1,Calculos!$K$86:$K$89,0)))</f>
        <v/>
      </c>
      <c r="O50" s="29"/>
      <c r="P50" s="29"/>
      <c r="Q50" s="29"/>
      <c r="R50" s="29"/>
      <c r="S50" s="29"/>
      <c r="T50" s="29"/>
      <c r="U50" s="30"/>
    </row>
    <row r="51" spans="1:21" x14ac:dyDescent="0.2">
      <c r="A51" s="25"/>
      <c r="B51" s="40">
        <v>27</v>
      </c>
      <c r="C51" s="41" t="str">
        <f>IF(B51="","",INDEX(Calculos!$CO$4:$CO$75,MATCH(B51,Calculos!$CN$4:$CN$75,0)))</f>
        <v>20-Jun · Toronto</v>
      </c>
      <c r="D51" s="42" t="str">
        <f>Calculos!B8</f>
        <v>ALEMANIA</v>
      </c>
      <c r="E51" s="17"/>
      <c r="F51" s="43" t="s">
        <v>8</v>
      </c>
      <c r="G51" s="107" t="str">
        <f>Calculos!D8</f>
        <v>COSTA DE MARFIL</v>
      </c>
      <c r="H51" s="107"/>
      <c r="I51" s="17"/>
      <c r="J51" s="29"/>
      <c r="K51" s="51">
        <v>2</v>
      </c>
      <c r="L51" s="52" t="str">
        <f>IF(COUNT($E$49:$E$54,$I$49:$I$54)=0,"",INDEX(Calculos!$A$86:$A$89,MATCH(2,Calculos!$K$86:$K$89,0)))</f>
        <v/>
      </c>
      <c r="M51" s="53" t="str">
        <f>IF(COUNT($E$49:$E$54,$I$49:$I$54)=0,"",INDEX(Calculos!$F$86:$F$89,MATCH(2,Calculos!$K$86:$K$89,0)))</f>
        <v/>
      </c>
      <c r="N51" s="54" t="str">
        <f>IF(COUNT($E$49:$E$54,$I$49:$I$54)=0,"",INDEX(Calculos!$I$86:$I$89,MATCH(2,Calculos!$K$86:$K$89,0)))</f>
        <v/>
      </c>
      <c r="O51" s="29"/>
      <c r="P51" s="29"/>
      <c r="Q51" s="29"/>
      <c r="R51" s="29"/>
      <c r="S51" s="29"/>
      <c r="T51" s="29"/>
      <c r="U51" s="30"/>
    </row>
    <row r="52" spans="1:21" x14ac:dyDescent="0.2">
      <c r="A52" s="25"/>
      <c r="B52" s="40">
        <v>28</v>
      </c>
      <c r="C52" s="41" t="str">
        <f>IF(B52="","",INDEX(Calculos!$CO$4:$CO$75,MATCH(B52,Calculos!$CN$4:$CN$75,0)))</f>
        <v>20-Jun · Kansas City</v>
      </c>
      <c r="D52" s="42" t="str">
        <f>Calculos!E8</f>
        <v>ECUADOR</v>
      </c>
      <c r="E52" s="17"/>
      <c r="F52" s="43" t="s">
        <v>8</v>
      </c>
      <c r="G52" s="107" t="str">
        <f>Calculos!C8</f>
        <v>CURAZAO</v>
      </c>
      <c r="H52" s="107"/>
      <c r="I52" s="17"/>
      <c r="J52" s="29"/>
      <c r="K52" s="51">
        <v>3</v>
      </c>
      <c r="L52" s="52" t="str">
        <f>IF(COUNT($E$49:$E$54,$I$49:$I$54)=0,"",INDEX(Calculos!$A$86:$A$89,MATCH(3,Calculos!$K$86:$K$89,0)))</f>
        <v/>
      </c>
      <c r="M52" s="53" t="str">
        <f>IF(COUNT($E$49:$E$54,$I$49:$I$54)=0,"",INDEX(Calculos!$F$86:$F$89,MATCH(3,Calculos!$K$86:$K$89,0)))</f>
        <v/>
      </c>
      <c r="N52" s="54" t="str">
        <f>IF(COUNT($E$49:$E$54,$I$49:$I$54)=0,"",INDEX(Calculos!$I$86:$I$89,MATCH(3,Calculos!$K$86:$K$89,0)))</f>
        <v/>
      </c>
      <c r="O52" s="29"/>
      <c r="P52" s="29"/>
      <c r="Q52" s="29"/>
      <c r="R52" s="29"/>
      <c r="S52" s="29"/>
      <c r="T52" s="29"/>
      <c r="U52" s="30"/>
    </row>
    <row r="53" spans="1:21" ht="13.5" thickBot="1" x14ac:dyDescent="0.25">
      <c r="A53" s="25"/>
      <c r="B53" s="40">
        <v>29</v>
      </c>
      <c r="C53" s="41" t="str">
        <f>IF(B53="","",INDEX(Calculos!$CO$4:$CO$75,MATCH(B53,Calculos!$CN$4:$CN$75,0)))</f>
        <v>25-Jun · Filadelfia</v>
      </c>
      <c r="D53" s="42" t="str">
        <f>Calculos!C8</f>
        <v>CURAZAO</v>
      </c>
      <c r="E53" s="17"/>
      <c r="F53" s="43" t="s">
        <v>8</v>
      </c>
      <c r="G53" s="107" t="str">
        <f>Calculos!D8</f>
        <v>COSTA DE MARFIL</v>
      </c>
      <c r="H53" s="107"/>
      <c r="I53" s="17"/>
      <c r="J53" s="29"/>
      <c r="K53" s="55">
        <v>4</v>
      </c>
      <c r="L53" s="56" t="str">
        <f>IF(COUNT($E$49:$E$54,$I$49:$I$54)=0,"",INDEX(Calculos!$A$86:$A$89,MATCH(4,Calculos!$K$86:$K$89,0)))</f>
        <v/>
      </c>
      <c r="M53" s="57" t="str">
        <f>IF(COUNT($E$49:$E$54,$I$49:$I$54)=0,"",INDEX(Calculos!$F$86:$F$89,MATCH(4,Calculos!$K$86:$K$89,0)))</f>
        <v/>
      </c>
      <c r="N53" s="58" t="str">
        <f>IF(COUNT($E$49:$E$54,$I$49:$I$54)=0,"",INDEX(Calculos!$I$86:$I$89,MATCH(4,Calculos!$K$86:$K$89,0)))</f>
        <v/>
      </c>
      <c r="O53" s="29"/>
      <c r="P53" s="29"/>
      <c r="Q53" s="29"/>
      <c r="R53" s="29"/>
      <c r="S53" s="29"/>
      <c r="T53" s="29"/>
      <c r="U53" s="30"/>
    </row>
    <row r="54" spans="1:21" ht="13.5" thickBot="1" x14ac:dyDescent="0.25">
      <c r="A54" s="25"/>
      <c r="B54" s="40">
        <v>30</v>
      </c>
      <c r="C54" s="41" t="str">
        <f>IF(B54="","",INDEX(Calculos!$CO$4:$CO$75,MATCH(B54,Calculos!$CN$4:$CN$75,0)))</f>
        <v>25-Jun · Nueva York</v>
      </c>
      <c r="D54" s="42" t="str">
        <f>Calculos!E8</f>
        <v>ECUADOR</v>
      </c>
      <c r="E54" s="17"/>
      <c r="F54" s="43" t="s">
        <v>8</v>
      </c>
      <c r="G54" s="107" t="str">
        <f>Calculos!B8</f>
        <v>ALEMANIA</v>
      </c>
      <c r="H54" s="107"/>
      <c r="I54" s="17"/>
      <c r="J54" s="29"/>
      <c r="K54" s="28"/>
      <c r="L54" s="27"/>
      <c r="M54" s="26"/>
      <c r="N54" s="26"/>
      <c r="O54" s="29"/>
      <c r="P54" s="29"/>
      <c r="Q54" s="29"/>
      <c r="R54" s="29"/>
      <c r="S54" s="29"/>
      <c r="T54" s="29"/>
      <c r="U54" s="30"/>
    </row>
    <row r="55" spans="1:21" ht="13.5" thickBot="1" x14ac:dyDescent="0.25">
      <c r="A55" s="25"/>
      <c r="B55" s="109" t="s">
        <v>30</v>
      </c>
      <c r="C55" s="109"/>
      <c r="D55" s="109"/>
      <c r="E55" s="109"/>
      <c r="F55" s="109"/>
      <c r="G55" s="109"/>
      <c r="H55" s="109"/>
      <c r="I55" s="109"/>
      <c r="J55" s="29"/>
      <c r="K55" s="92" t="s">
        <v>31</v>
      </c>
      <c r="L55" s="93"/>
      <c r="M55" s="93"/>
      <c r="N55" s="94"/>
      <c r="O55" s="29"/>
      <c r="P55" s="29"/>
      <c r="Q55" s="29"/>
      <c r="R55" s="29"/>
      <c r="S55" s="29"/>
      <c r="T55" s="29"/>
      <c r="U55" s="30"/>
    </row>
    <row r="56" spans="1:21" ht="13.5" hidden="1" thickBot="1" x14ac:dyDescent="0.25">
      <c r="A56" s="25"/>
      <c r="B56" s="59" t="s">
        <v>5</v>
      </c>
      <c r="C56" s="60" t="s">
        <v>826</v>
      </c>
      <c r="D56" s="59" t="s">
        <v>6</v>
      </c>
      <c r="E56" s="59" t="s">
        <v>7</v>
      </c>
      <c r="F56" s="59" t="s">
        <v>8</v>
      </c>
      <c r="G56" s="108" t="s">
        <v>9</v>
      </c>
      <c r="H56" s="108"/>
      <c r="I56" s="59" t="s">
        <v>10</v>
      </c>
      <c r="J56" s="29"/>
      <c r="K56" s="39"/>
      <c r="L56" s="29"/>
      <c r="M56" s="29"/>
      <c r="N56" s="29"/>
      <c r="O56" s="29"/>
      <c r="P56" s="29"/>
      <c r="Q56" s="29"/>
      <c r="R56" s="29"/>
      <c r="S56" s="29"/>
      <c r="T56" s="29"/>
      <c r="U56" s="30"/>
    </row>
    <row r="57" spans="1:21" ht="15" customHeight="1" x14ac:dyDescent="0.2">
      <c r="A57" s="25"/>
      <c r="B57" s="40">
        <v>31</v>
      </c>
      <c r="C57" s="41" t="str">
        <f>IF(B57="","",INDEX(Calculos!$CO$4:$CO$75,MATCH(B57,Calculos!$CN$4:$CN$75,0)))</f>
        <v>14-Jun · Dallas</v>
      </c>
      <c r="D57" s="42" t="str">
        <f>Calculos!B9</f>
        <v>PAISES BAJOS</v>
      </c>
      <c r="E57" s="17"/>
      <c r="F57" s="43" t="s">
        <v>8</v>
      </c>
      <c r="G57" s="107" t="str">
        <f>Calculos!C9</f>
        <v>JAPON</v>
      </c>
      <c r="H57" s="107"/>
      <c r="I57" s="17"/>
      <c r="J57" s="29"/>
      <c r="K57" s="44" t="s">
        <v>12</v>
      </c>
      <c r="L57" s="45" t="s">
        <v>13</v>
      </c>
      <c r="M57" s="45" t="s">
        <v>18</v>
      </c>
      <c r="N57" s="46" t="s">
        <v>19</v>
      </c>
      <c r="O57" s="29"/>
      <c r="P57" s="29"/>
      <c r="Q57" s="29"/>
      <c r="R57" s="29"/>
      <c r="S57" s="29"/>
      <c r="T57" s="29"/>
      <c r="U57" s="30"/>
    </row>
    <row r="58" spans="1:21" x14ac:dyDescent="0.2">
      <c r="A58" s="25"/>
      <c r="B58" s="40">
        <v>32</v>
      </c>
      <c r="C58" s="41" t="str">
        <f>IF(B58="","",INDEX(Calculos!$CO$4:$CO$75,MATCH(B58,Calculos!$CN$4:$CN$75,0)))</f>
        <v>14-Jun · Monterrey</v>
      </c>
      <c r="D58" s="42" t="str">
        <f>Calculos!D9</f>
        <v>SUECIA</v>
      </c>
      <c r="E58" s="17"/>
      <c r="F58" s="43" t="s">
        <v>8</v>
      </c>
      <c r="G58" s="107" t="str">
        <f>Calculos!E9</f>
        <v>TUNEZ</v>
      </c>
      <c r="H58" s="107"/>
      <c r="I58" s="17"/>
      <c r="J58" s="29"/>
      <c r="K58" s="47">
        <v>1</v>
      </c>
      <c r="L58" s="48" t="str">
        <f>IF(COUNT($E$57:$E$62,$I$57:$I$62)=0,"",INDEX(Calculos!$A$100:$A$103,MATCH(1,Calculos!$K$100:$K$103,0)))</f>
        <v/>
      </c>
      <c r="M58" s="49" t="str">
        <f>IF(COUNT($E$57:$E$62,$I$57:$I$62)=0,"",INDEX(Calculos!$F$100:$F$103,MATCH(1,Calculos!$K$100:$K$103,0)))</f>
        <v/>
      </c>
      <c r="N58" s="50" t="str">
        <f>IF(COUNT($E$57:$E$62,$I$57:$I$62)=0,"",INDEX(Calculos!$I$100:$I$103,MATCH(1,Calculos!$K$100:$K$103,0)))</f>
        <v/>
      </c>
      <c r="O58" s="29"/>
      <c r="P58" s="29"/>
      <c r="Q58" s="29"/>
      <c r="R58" s="29"/>
      <c r="S58" s="29"/>
      <c r="T58" s="29"/>
      <c r="U58" s="30"/>
    </row>
    <row r="59" spans="1:21" x14ac:dyDescent="0.2">
      <c r="A59" s="25"/>
      <c r="B59" s="40">
        <v>33</v>
      </c>
      <c r="C59" s="41" t="str">
        <f>IF(B59="","",INDEX(Calculos!$CO$4:$CO$75,MATCH(B59,Calculos!$CN$4:$CN$75,0)))</f>
        <v>20-Jun · Houston</v>
      </c>
      <c r="D59" s="42" t="str">
        <f>Calculos!B9</f>
        <v>PAISES BAJOS</v>
      </c>
      <c r="E59" s="17"/>
      <c r="F59" s="43" t="s">
        <v>8</v>
      </c>
      <c r="G59" s="107" t="str">
        <f>Calculos!D9</f>
        <v>SUECIA</v>
      </c>
      <c r="H59" s="107"/>
      <c r="I59" s="17"/>
      <c r="J59" s="29"/>
      <c r="K59" s="51">
        <v>2</v>
      </c>
      <c r="L59" s="52" t="str">
        <f>IF(COUNT($E$57:$E$62,$I$57:$I$62)=0,"",INDEX(Calculos!$A$100:$A$103,MATCH(2,Calculos!$K$100:$K$103,0)))</f>
        <v/>
      </c>
      <c r="M59" s="53" t="str">
        <f>IF(COUNT($E$57:$E$62,$I$57:$I$62)=0,"",INDEX(Calculos!$F$100:$F$103,MATCH(2,Calculos!$K$100:$K$103,0)))</f>
        <v/>
      </c>
      <c r="N59" s="54" t="str">
        <f>IF(COUNT($E$57:$E$62,$I$57:$I$62)=0,"",INDEX(Calculos!$I$100:$I$103,MATCH(2,Calculos!$K$100:$K$103,0)))</f>
        <v/>
      </c>
      <c r="O59" s="29"/>
      <c r="P59" s="29"/>
      <c r="Q59" s="29"/>
      <c r="R59" s="29"/>
      <c r="S59" s="29"/>
      <c r="T59" s="29"/>
      <c r="U59" s="30"/>
    </row>
    <row r="60" spans="1:21" x14ac:dyDescent="0.2">
      <c r="A60" s="25"/>
      <c r="B60" s="40">
        <v>34</v>
      </c>
      <c r="C60" s="41" t="str">
        <f>IF(B60="","",INDEX(Calculos!$CO$4:$CO$75,MATCH(B60,Calculos!$CN$4:$CN$75,0)))</f>
        <v>20-Jun · Monterrey</v>
      </c>
      <c r="D60" s="42" t="str">
        <f>Calculos!E9</f>
        <v>TUNEZ</v>
      </c>
      <c r="E60" s="17"/>
      <c r="F60" s="43" t="s">
        <v>8</v>
      </c>
      <c r="G60" s="107" t="str">
        <f>Calculos!C9</f>
        <v>JAPON</v>
      </c>
      <c r="H60" s="107"/>
      <c r="I60" s="17"/>
      <c r="J60" s="29"/>
      <c r="K60" s="51">
        <v>3</v>
      </c>
      <c r="L60" s="52" t="str">
        <f>IF(COUNT($E$57:$E$62,$I$57:$I$62)=0,"",INDEX(Calculos!$A$100:$A$103,MATCH(3,Calculos!$K$100:$K$103,0)))</f>
        <v/>
      </c>
      <c r="M60" s="53" t="str">
        <f>IF(COUNT($E$57:$E$62,$I$57:$I$62)=0,"",INDEX(Calculos!$F$100:$F$103,MATCH(3,Calculos!$K$100:$K$103,0)))</f>
        <v/>
      </c>
      <c r="N60" s="54" t="str">
        <f>IF(COUNT($E$57:$E$62,$I$57:$I$62)=0,"",INDEX(Calculos!$I$100:$I$103,MATCH(3,Calculos!$K$100:$K$103,0)))</f>
        <v/>
      </c>
      <c r="O60" s="29"/>
      <c r="P60" s="29"/>
      <c r="Q60" s="29"/>
      <c r="R60" s="29"/>
      <c r="S60" s="29"/>
      <c r="T60" s="29"/>
      <c r="U60" s="30"/>
    </row>
    <row r="61" spans="1:21" ht="13.5" thickBot="1" x14ac:dyDescent="0.25">
      <c r="A61" s="25"/>
      <c r="B61" s="40">
        <v>35</v>
      </c>
      <c r="C61" s="41" t="str">
        <f>IF(B61="","",INDEX(Calculos!$CO$4:$CO$75,MATCH(B61,Calculos!$CN$4:$CN$75,0)))</f>
        <v>25-Jun · Dallas</v>
      </c>
      <c r="D61" s="42" t="str">
        <f>Calculos!C9</f>
        <v>JAPON</v>
      </c>
      <c r="E61" s="17"/>
      <c r="F61" s="43" t="s">
        <v>8</v>
      </c>
      <c r="G61" s="107" t="str">
        <f>Calculos!D9</f>
        <v>SUECIA</v>
      </c>
      <c r="H61" s="107"/>
      <c r="I61" s="17"/>
      <c r="J61" s="29"/>
      <c r="K61" s="55">
        <v>4</v>
      </c>
      <c r="L61" s="56" t="str">
        <f>IF(COUNT($E$57:$E$62,$I$57:$I$62)=0,"",INDEX(Calculos!$A$100:$A$103,MATCH(4,Calculos!$K$100:$K$103,0)))</f>
        <v/>
      </c>
      <c r="M61" s="57" t="str">
        <f>IF(COUNT($E$57:$E$62,$I$57:$I$62)=0,"",INDEX(Calculos!$F$100:$F$103,MATCH(4,Calculos!$K$100:$K$103,0)))</f>
        <v/>
      </c>
      <c r="N61" s="58" t="str">
        <f>IF(COUNT($E$57:$E$62,$I$57:$I$62)=0,"",INDEX(Calculos!$I$100:$I$103,MATCH(4,Calculos!$K$100:$K$103,0)))</f>
        <v/>
      </c>
      <c r="O61" s="29"/>
      <c r="P61" s="29"/>
      <c r="Q61" s="29"/>
      <c r="R61" s="29"/>
      <c r="S61" s="29"/>
      <c r="T61" s="29"/>
      <c r="U61" s="30"/>
    </row>
    <row r="62" spans="1:21" ht="13.5" thickBot="1" x14ac:dyDescent="0.25">
      <c r="A62" s="25"/>
      <c r="B62" s="40">
        <v>36</v>
      </c>
      <c r="C62" s="41" t="str">
        <f>IF(B62="","",INDEX(Calculos!$CO$4:$CO$75,MATCH(B62,Calculos!$CN$4:$CN$75,0)))</f>
        <v>25-Jun · Kansas City</v>
      </c>
      <c r="D62" s="42" t="str">
        <f>Calculos!E9</f>
        <v>TUNEZ</v>
      </c>
      <c r="E62" s="17"/>
      <c r="F62" s="43" t="s">
        <v>8</v>
      </c>
      <c r="G62" s="107" t="str">
        <f>Calculos!B9</f>
        <v>PAISES BAJOS</v>
      </c>
      <c r="H62" s="107"/>
      <c r="I62" s="17"/>
      <c r="J62" s="29"/>
      <c r="K62" s="28"/>
      <c r="L62" s="27"/>
      <c r="M62" s="26"/>
      <c r="N62" s="26"/>
      <c r="O62" s="29"/>
      <c r="P62" s="29"/>
      <c r="Q62" s="29"/>
      <c r="R62" s="29"/>
      <c r="S62" s="29"/>
      <c r="T62" s="29"/>
      <c r="U62" s="30"/>
    </row>
    <row r="63" spans="1:21" ht="13.5" thickBot="1" x14ac:dyDescent="0.25">
      <c r="A63" s="25"/>
      <c r="B63" s="109" t="s">
        <v>32</v>
      </c>
      <c r="C63" s="109"/>
      <c r="D63" s="109"/>
      <c r="E63" s="109"/>
      <c r="F63" s="109"/>
      <c r="G63" s="109"/>
      <c r="H63" s="109"/>
      <c r="I63" s="109"/>
      <c r="J63" s="29"/>
      <c r="K63" s="92" t="s">
        <v>33</v>
      </c>
      <c r="L63" s="93"/>
      <c r="M63" s="93"/>
      <c r="N63" s="94"/>
      <c r="O63" s="29"/>
      <c r="P63" s="29"/>
      <c r="Q63" s="29"/>
      <c r="R63" s="29"/>
      <c r="S63" s="29"/>
      <c r="T63" s="29"/>
      <c r="U63" s="30"/>
    </row>
    <row r="64" spans="1:21" ht="13.5" hidden="1" thickBot="1" x14ac:dyDescent="0.25">
      <c r="A64" s="25"/>
      <c r="B64" s="59" t="s">
        <v>5</v>
      </c>
      <c r="C64" s="60" t="s">
        <v>826</v>
      </c>
      <c r="D64" s="59" t="s">
        <v>6</v>
      </c>
      <c r="E64" s="59" t="s">
        <v>7</v>
      </c>
      <c r="F64" s="59" t="s">
        <v>8</v>
      </c>
      <c r="G64" s="108" t="s">
        <v>9</v>
      </c>
      <c r="H64" s="108"/>
      <c r="I64" s="59" t="s">
        <v>10</v>
      </c>
      <c r="J64" s="29"/>
      <c r="K64" s="39"/>
      <c r="L64" s="29"/>
      <c r="M64" s="29"/>
      <c r="N64" s="29"/>
      <c r="O64" s="29"/>
      <c r="P64" s="29"/>
      <c r="Q64" s="29"/>
      <c r="R64" s="29"/>
      <c r="S64" s="29"/>
      <c r="T64" s="29"/>
      <c r="U64" s="30"/>
    </row>
    <row r="65" spans="1:21" x14ac:dyDescent="0.2">
      <c r="A65" s="25"/>
      <c r="B65" s="40">
        <v>37</v>
      </c>
      <c r="C65" s="41" t="str">
        <f>IF(B65="","",INDEX(Calculos!$CO$4:$CO$75,MATCH(B65,Calculos!$CN$4:$CN$75,0)))</f>
        <v>15-Jun · Seattle</v>
      </c>
      <c r="D65" s="42" t="str">
        <f>Calculos!B10</f>
        <v>BELGICA</v>
      </c>
      <c r="E65" s="17"/>
      <c r="F65" s="43" t="s">
        <v>8</v>
      </c>
      <c r="G65" s="107" t="str">
        <f>Calculos!C10</f>
        <v>EGIPTO</v>
      </c>
      <c r="H65" s="107"/>
      <c r="I65" s="17"/>
      <c r="J65" s="29"/>
      <c r="K65" s="44" t="s">
        <v>12</v>
      </c>
      <c r="L65" s="45" t="s">
        <v>13</v>
      </c>
      <c r="M65" s="45" t="s">
        <v>18</v>
      </c>
      <c r="N65" s="46" t="s">
        <v>19</v>
      </c>
      <c r="O65" s="29"/>
      <c r="P65" s="29"/>
      <c r="Q65" s="29"/>
      <c r="R65" s="29"/>
      <c r="S65" s="29"/>
      <c r="T65" s="29"/>
      <c r="U65" s="30"/>
    </row>
    <row r="66" spans="1:21" x14ac:dyDescent="0.2">
      <c r="A66" s="25"/>
      <c r="B66" s="40">
        <v>38</v>
      </c>
      <c r="C66" s="41" t="str">
        <f>IF(B66="","",INDEX(Calculos!$CO$4:$CO$75,MATCH(B66,Calculos!$CN$4:$CN$75,0)))</f>
        <v>15-Jun · Los Ángeles</v>
      </c>
      <c r="D66" s="42" t="str">
        <f>Calculos!D10</f>
        <v>IRAN</v>
      </c>
      <c r="E66" s="17"/>
      <c r="F66" s="43" t="s">
        <v>8</v>
      </c>
      <c r="G66" s="107" t="str">
        <f>Calculos!E10</f>
        <v>NUEVA ZELANDA</v>
      </c>
      <c r="H66" s="107"/>
      <c r="I66" s="17"/>
      <c r="J66" s="29"/>
      <c r="K66" s="47">
        <v>1</v>
      </c>
      <c r="L66" s="48" t="str">
        <f>IF(COUNT($E$65:$E$70,$I$65:$I$70)=0,"",INDEX(Calculos!$A$114:$A$117,MATCH(1,Calculos!$K$114:$K$117,0)))</f>
        <v/>
      </c>
      <c r="M66" s="49" t="str">
        <f>IF(COUNT($E$65:$E$70,$I$65:$I$70)=0,"",INDEX(Calculos!$F$114:$F$117,MATCH(1,Calculos!$K$114:$K$117,0)))</f>
        <v/>
      </c>
      <c r="N66" s="50" t="str">
        <f>IF(COUNT($E$65:$E$70,$I$65:$I$70)=0,"",INDEX(Calculos!$I$114:$I$117,MATCH(1,Calculos!$K$114:$K$117,0)))</f>
        <v/>
      </c>
      <c r="O66" s="29"/>
      <c r="P66" s="29"/>
      <c r="Q66" s="29"/>
      <c r="R66" s="29"/>
      <c r="S66" s="29"/>
      <c r="T66" s="29"/>
      <c r="U66" s="30"/>
    </row>
    <row r="67" spans="1:21" x14ac:dyDescent="0.2">
      <c r="A67" s="25"/>
      <c r="B67" s="40">
        <v>39</v>
      </c>
      <c r="C67" s="41" t="str">
        <f>IF(B67="","",INDEX(Calculos!$CO$4:$CO$75,MATCH(B67,Calculos!$CN$4:$CN$75,0)))</f>
        <v>21-Jun · Los Ángeles</v>
      </c>
      <c r="D67" s="42" t="str">
        <f>Calculos!B10</f>
        <v>BELGICA</v>
      </c>
      <c r="E67" s="17"/>
      <c r="F67" s="43" t="s">
        <v>8</v>
      </c>
      <c r="G67" s="107" t="str">
        <f>Calculos!D10</f>
        <v>IRAN</v>
      </c>
      <c r="H67" s="107"/>
      <c r="I67" s="17"/>
      <c r="J67" s="29"/>
      <c r="K67" s="51">
        <v>2</v>
      </c>
      <c r="L67" s="52" t="str">
        <f>IF(COUNT($E$65:$E$70,$I$65:$I$70)=0,"",INDEX(Calculos!$A$114:$A$117,MATCH(2,Calculos!$K$114:$K$117,0)))</f>
        <v/>
      </c>
      <c r="M67" s="53" t="str">
        <f>IF(COUNT($E$65:$E$70,$I$65:$I$70)=0,"",INDEX(Calculos!$F$114:$F$117,MATCH(2,Calculos!$K$114:$K$117,0)))</f>
        <v/>
      </c>
      <c r="N67" s="54" t="str">
        <f>IF(COUNT($E$65:$E$70,$I$65:$I$70)=0,"",INDEX(Calculos!$I$114:$I$117,MATCH(2,Calculos!$K$114:$K$117,0)))</f>
        <v/>
      </c>
      <c r="O67" s="29"/>
      <c r="P67" s="29"/>
      <c r="Q67" s="29"/>
      <c r="R67" s="29"/>
      <c r="S67" s="29"/>
      <c r="T67" s="29"/>
      <c r="U67" s="30"/>
    </row>
    <row r="68" spans="1:21" x14ac:dyDescent="0.2">
      <c r="A68" s="25"/>
      <c r="B68" s="40">
        <v>40</v>
      </c>
      <c r="C68" s="41" t="str">
        <f>IF(B68="","",INDEX(Calculos!$CO$4:$CO$75,MATCH(B68,Calculos!$CN$4:$CN$75,0)))</f>
        <v>21-Jun · Vancouver</v>
      </c>
      <c r="D68" s="42" t="str">
        <f>Calculos!E10</f>
        <v>NUEVA ZELANDA</v>
      </c>
      <c r="E68" s="17"/>
      <c r="F68" s="43" t="s">
        <v>8</v>
      </c>
      <c r="G68" s="107" t="str">
        <f>Calculos!C10</f>
        <v>EGIPTO</v>
      </c>
      <c r="H68" s="107"/>
      <c r="I68" s="17"/>
      <c r="J68" s="29"/>
      <c r="K68" s="51">
        <v>3</v>
      </c>
      <c r="L68" s="52" t="str">
        <f>IF(COUNT($E$65:$E$70,$I$65:$I$70)=0,"",INDEX(Calculos!$A$114:$A$117,MATCH(3,Calculos!$K$114:$K$117,0)))</f>
        <v/>
      </c>
      <c r="M68" s="53" t="str">
        <f>IF(COUNT($E$65:$E$70,$I$65:$I$70)=0,"",INDEX(Calculos!$F$114:$F$117,MATCH(3,Calculos!$K$114:$K$117,0)))</f>
        <v/>
      </c>
      <c r="N68" s="54" t="str">
        <f>IF(COUNT($E$65:$E$70,$I$65:$I$70)=0,"",INDEX(Calculos!$I$114:$I$117,MATCH(3,Calculos!$K$114:$K$117,0)))</f>
        <v/>
      </c>
      <c r="O68" s="29"/>
      <c r="P68" s="29"/>
      <c r="Q68" s="29"/>
      <c r="R68" s="29"/>
      <c r="S68" s="29"/>
      <c r="T68" s="29"/>
      <c r="U68" s="30"/>
    </row>
    <row r="69" spans="1:21" ht="13.5" thickBot="1" x14ac:dyDescent="0.25">
      <c r="A69" s="25"/>
      <c r="B69" s="40">
        <v>41</v>
      </c>
      <c r="C69" s="41" t="str">
        <f>IF(B69="","",INDEX(Calculos!$CO$4:$CO$75,MATCH(B69,Calculos!$CN$4:$CN$75,0)))</f>
        <v>26-Jun · Seattle</v>
      </c>
      <c r="D69" s="42" t="str">
        <f>Calculos!C10</f>
        <v>EGIPTO</v>
      </c>
      <c r="E69" s="17"/>
      <c r="F69" s="43" t="s">
        <v>8</v>
      </c>
      <c r="G69" s="107" t="str">
        <f>Calculos!D10</f>
        <v>IRAN</v>
      </c>
      <c r="H69" s="107"/>
      <c r="I69" s="17"/>
      <c r="J69" s="29"/>
      <c r="K69" s="55">
        <v>4</v>
      </c>
      <c r="L69" s="56" t="str">
        <f>IF(COUNT($E$65:$E$70,$I$65:$I$70)=0,"",INDEX(Calculos!$A$114:$A$117,MATCH(4,Calculos!$K$114:$K$117,0)))</f>
        <v/>
      </c>
      <c r="M69" s="57" t="str">
        <f>IF(COUNT($E$65:$E$70,$I$65:$I$70)=0,"",INDEX(Calculos!$F$114:$F$117,MATCH(4,Calculos!$K$114:$K$117,0)))</f>
        <v/>
      </c>
      <c r="N69" s="58" t="str">
        <f>IF(COUNT($E$65:$E$70,$I$65:$I$70)=0,"",INDEX(Calculos!$I$114:$I$117,MATCH(4,Calculos!$K$114:$K$117,0)))</f>
        <v/>
      </c>
      <c r="O69" s="29"/>
      <c r="P69" s="29"/>
      <c r="Q69" s="29"/>
      <c r="R69" s="29"/>
      <c r="S69" s="29"/>
      <c r="T69" s="29"/>
      <c r="U69" s="30"/>
    </row>
    <row r="70" spans="1:21" ht="13.5" thickBot="1" x14ac:dyDescent="0.25">
      <c r="A70" s="25"/>
      <c r="B70" s="40">
        <v>42</v>
      </c>
      <c r="C70" s="41" t="str">
        <f>IF(B70="","",INDEX(Calculos!$CO$4:$CO$75,MATCH(B70,Calculos!$CN$4:$CN$75,0)))</f>
        <v>26-Jun · Vancouver</v>
      </c>
      <c r="D70" s="42" t="str">
        <f>Calculos!E10</f>
        <v>NUEVA ZELANDA</v>
      </c>
      <c r="E70" s="17"/>
      <c r="F70" s="43" t="s">
        <v>8</v>
      </c>
      <c r="G70" s="107" t="str">
        <f>Calculos!B10</f>
        <v>BELGICA</v>
      </c>
      <c r="H70" s="107"/>
      <c r="I70" s="17"/>
      <c r="J70" s="29"/>
      <c r="K70" s="39"/>
      <c r="L70" s="29"/>
      <c r="M70" s="29"/>
      <c r="N70" s="29"/>
      <c r="O70" s="29"/>
      <c r="P70" s="29"/>
      <c r="Q70" s="29"/>
      <c r="R70" s="29"/>
      <c r="S70" s="29"/>
      <c r="T70" s="29"/>
      <c r="U70" s="30"/>
    </row>
    <row r="71" spans="1:21" ht="13.5" thickBot="1" x14ac:dyDescent="0.25">
      <c r="A71" s="25"/>
      <c r="B71" s="109" t="s">
        <v>34</v>
      </c>
      <c r="C71" s="109"/>
      <c r="D71" s="109"/>
      <c r="E71" s="109"/>
      <c r="F71" s="109"/>
      <c r="G71" s="109"/>
      <c r="H71" s="109"/>
      <c r="I71" s="109"/>
      <c r="J71" s="29"/>
      <c r="K71" s="92" t="s">
        <v>35</v>
      </c>
      <c r="L71" s="93"/>
      <c r="M71" s="93"/>
      <c r="N71" s="94"/>
      <c r="O71" s="29"/>
      <c r="P71" s="29"/>
      <c r="Q71" s="29"/>
      <c r="R71" s="29"/>
      <c r="S71" s="29"/>
      <c r="T71" s="29"/>
      <c r="U71" s="30"/>
    </row>
    <row r="72" spans="1:21" ht="13.5" hidden="1" thickBot="1" x14ac:dyDescent="0.25">
      <c r="A72" s="25"/>
      <c r="B72" s="59" t="s">
        <v>5</v>
      </c>
      <c r="C72" s="60" t="s">
        <v>826</v>
      </c>
      <c r="D72" s="59" t="s">
        <v>6</v>
      </c>
      <c r="E72" s="59" t="s">
        <v>7</v>
      </c>
      <c r="F72" s="59" t="s">
        <v>8</v>
      </c>
      <c r="G72" s="108" t="s">
        <v>9</v>
      </c>
      <c r="H72" s="108"/>
      <c r="I72" s="59" t="s">
        <v>10</v>
      </c>
      <c r="J72" s="29"/>
      <c r="K72" s="39"/>
      <c r="L72" s="29"/>
      <c r="M72" s="29"/>
      <c r="N72" s="29"/>
      <c r="O72" s="29"/>
      <c r="P72" s="29"/>
      <c r="Q72" s="29"/>
      <c r="R72" s="29"/>
      <c r="S72" s="29"/>
      <c r="T72" s="29"/>
      <c r="U72" s="30"/>
    </row>
    <row r="73" spans="1:21" x14ac:dyDescent="0.2">
      <c r="A73" s="25"/>
      <c r="B73" s="40">
        <v>43</v>
      </c>
      <c r="C73" s="41" t="str">
        <f>IF(B73="","",INDEX(Calculos!$CO$4:$CO$75,MATCH(B73,Calculos!$CN$4:$CN$75,0)))</f>
        <v>15-Jun · Atlanta</v>
      </c>
      <c r="D73" s="42" t="str">
        <f>Calculos!B11</f>
        <v>ESPAÑA</v>
      </c>
      <c r="E73" s="17"/>
      <c r="F73" s="43" t="s">
        <v>8</v>
      </c>
      <c r="G73" s="107" t="str">
        <f>Calculos!C11</f>
        <v>CABO VERDE</v>
      </c>
      <c r="H73" s="107"/>
      <c r="I73" s="17"/>
      <c r="J73" s="29"/>
      <c r="K73" s="44" t="s">
        <v>12</v>
      </c>
      <c r="L73" s="45" t="s">
        <v>13</v>
      </c>
      <c r="M73" s="45" t="s">
        <v>18</v>
      </c>
      <c r="N73" s="46" t="s">
        <v>19</v>
      </c>
      <c r="O73" s="29"/>
      <c r="P73" s="29"/>
      <c r="Q73" s="29"/>
      <c r="R73" s="29"/>
      <c r="S73" s="29"/>
      <c r="T73" s="29"/>
      <c r="U73" s="30"/>
    </row>
    <row r="74" spans="1:21" ht="13.5" customHeight="1" x14ac:dyDescent="0.2">
      <c r="A74" s="25"/>
      <c r="B74" s="40">
        <v>44</v>
      </c>
      <c r="C74" s="41" t="str">
        <f>IF(B74="","",INDEX(Calculos!$CO$4:$CO$75,MATCH(B74,Calculos!$CN$4:$CN$75,0)))</f>
        <v>15-Jun · Miami</v>
      </c>
      <c r="D74" s="42" t="str">
        <f>Calculos!D11</f>
        <v>ARABIA SAUDITA</v>
      </c>
      <c r="E74" s="17"/>
      <c r="F74" s="43" t="s">
        <v>8</v>
      </c>
      <c r="G74" s="107" t="str">
        <f>Calculos!E11</f>
        <v>URUGUAY</v>
      </c>
      <c r="H74" s="107"/>
      <c r="I74" s="17"/>
      <c r="J74" s="29"/>
      <c r="K74" s="47">
        <v>1</v>
      </c>
      <c r="L74" s="48" t="str">
        <f>IF(COUNT($E$73:$E$78,$I$73:$I$78)=0,"",INDEX(Calculos!$A$128:$A$131,MATCH(1,Calculos!$K$128:$K$131,0)))</f>
        <v/>
      </c>
      <c r="M74" s="49" t="str">
        <f>IF(COUNT($E$73:$E$78,$I$73:$I$78)=0,"",INDEX(Calculos!$F$128:$F$131,MATCH(1,Calculos!$K$128:$K$131,0)))</f>
        <v/>
      </c>
      <c r="N74" s="50" t="str">
        <f>IF(COUNT($E$73:$E$78,$I$73:$I$78)=0,"",INDEX(Calculos!$I$128:$I$131,MATCH(1,Calculos!$K$128:$K$131,0)))</f>
        <v/>
      </c>
      <c r="O74" s="29"/>
      <c r="P74" s="29"/>
      <c r="Q74" s="29"/>
      <c r="R74" s="29"/>
      <c r="S74" s="29"/>
      <c r="T74" s="29"/>
      <c r="U74" s="30"/>
    </row>
    <row r="75" spans="1:21" x14ac:dyDescent="0.2">
      <c r="A75" s="25"/>
      <c r="B75" s="40">
        <v>45</v>
      </c>
      <c r="C75" s="41" t="str">
        <f>IF(B75="","",INDEX(Calculos!$CO$4:$CO$75,MATCH(B75,Calculos!$CN$4:$CN$75,0)))</f>
        <v>21-Jun · Atlanta</v>
      </c>
      <c r="D75" s="42" t="str">
        <f>Calculos!B11</f>
        <v>ESPAÑA</v>
      </c>
      <c r="E75" s="17"/>
      <c r="F75" s="43" t="s">
        <v>8</v>
      </c>
      <c r="G75" s="107" t="str">
        <f>Calculos!D11</f>
        <v>ARABIA SAUDITA</v>
      </c>
      <c r="H75" s="107"/>
      <c r="I75" s="17"/>
      <c r="J75" s="29"/>
      <c r="K75" s="51">
        <v>2</v>
      </c>
      <c r="L75" s="52" t="str">
        <f>IF(COUNT($E$73:$E$78,$I$73:$I$78)=0,"",INDEX(Calculos!$A$128:$A$131,MATCH(2,Calculos!$K$128:$K$131,0)))</f>
        <v/>
      </c>
      <c r="M75" s="53" t="str">
        <f>IF(COUNT($E$73:$E$78,$I$73:$I$78)=0,"",INDEX(Calculos!$F$128:$F$131,MATCH(2,Calculos!$K$128:$K$131,0)))</f>
        <v/>
      </c>
      <c r="N75" s="54" t="str">
        <f>IF(COUNT($E$73:$E$78,$I$73:$I$78)=0,"",INDEX(Calculos!$I$128:$I$131,MATCH(2,Calculos!$K$128:$K$131,0)))</f>
        <v/>
      </c>
      <c r="O75" s="29"/>
      <c r="P75" s="29"/>
      <c r="Q75" s="29"/>
      <c r="R75" s="29"/>
      <c r="S75" s="29"/>
      <c r="T75" s="29"/>
      <c r="U75" s="30"/>
    </row>
    <row r="76" spans="1:21" x14ac:dyDescent="0.2">
      <c r="A76" s="25"/>
      <c r="B76" s="40">
        <v>46</v>
      </c>
      <c r="C76" s="41" t="str">
        <f>IF(B76="","",INDEX(Calculos!$CO$4:$CO$75,MATCH(B76,Calculos!$CN$4:$CN$75,0)))</f>
        <v>21-Jun · Miami</v>
      </c>
      <c r="D76" s="42" t="str">
        <f>Calculos!E11</f>
        <v>URUGUAY</v>
      </c>
      <c r="E76" s="17"/>
      <c r="F76" s="43" t="s">
        <v>8</v>
      </c>
      <c r="G76" s="107" t="str">
        <f>Calculos!C11</f>
        <v>CABO VERDE</v>
      </c>
      <c r="H76" s="107"/>
      <c r="I76" s="17"/>
      <c r="J76" s="29"/>
      <c r="K76" s="51">
        <v>3</v>
      </c>
      <c r="L76" s="52" t="str">
        <f>IF(COUNT($E$73:$E$78,$I$73:$I$78)=0,"",INDEX(Calculos!$A$128:$A$131,MATCH(3,Calculos!$K$128:$K$131,0)))</f>
        <v/>
      </c>
      <c r="M76" s="53" t="str">
        <f>IF(COUNT($E$73:$E$78,$I$73:$I$78)=0,"",INDEX(Calculos!$F$128:$F$131,MATCH(3,Calculos!$K$128:$K$131,0)))</f>
        <v/>
      </c>
      <c r="N76" s="54" t="str">
        <f>IF(COUNT($E$73:$E$78,$I$73:$I$78)=0,"",INDEX(Calculos!$I$128:$I$131,MATCH(3,Calculos!$K$128:$K$131,0)))</f>
        <v/>
      </c>
      <c r="O76" s="29"/>
      <c r="P76" s="29"/>
      <c r="Q76" s="29"/>
      <c r="R76" s="29"/>
      <c r="S76" s="29"/>
      <c r="T76" s="29"/>
      <c r="U76" s="30"/>
    </row>
    <row r="77" spans="1:21" ht="13.5" thickBot="1" x14ac:dyDescent="0.25">
      <c r="A77" s="25"/>
      <c r="B77" s="40">
        <v>47</v>
      </c>
      <c r="C77" s="41" t="str">
        <f>IF(B77="","",INDEX(Calculos!$CO$4:$CO$75,MATCH(B77,Calculos!$CN$4:$CN$75,0)))</f>
        <v>26-Jun · Houston</v>
      </c>
      <c r="D77" s="42" t="str">
        <f>Calculos!C11</f>
        <v>CABO VERDE</v>
      </c>
      <c r="E77" s="17"/>
      <c r="F77" s="43" t="s">
        <v>8</v>
      </c>
      <c r="G77" s="107" t="str">
        <f>Calculos!D11</f>
        <v>ARABIA SAUDITA</v>
      </c>
      <c r="H77" s="107"/>
      <c r="I77" s="17"/>
      <c r="J77" s="29"/>
      <c r="K77" s="55">
        <v>4</v>
      </c>
      <c r="L77" s="56" t="str">
        <f>IF(COUNT($E$73:$E$78,$I$73:$I$78)=0,"",INDEX(Calculos!$A$128:$A$131,MATCH(4,Calculos!$K$128:$K$131,0)))</f>
        <v/>
      </c>
      <c r="M77" s="57" t="str">
        <f>IF(COUNT($E$73:$E$78,$I$73:$I$78)=0,"",INDEX(Calculos!$F$128:$F$131,MATCH(4,Calculos!$K$128:$K$131,0)))</f>
        <v/>
      </c>
      <c r="N77" s="58" t="str">
        <f>IF(COUNT($E$73:$E$78,$I$73:$I$78)=0,"",INDEX(Calculos!$I$128:$I$131,MATCH(4,Calculos!$K$128:$K$131,0)))</f>
        <v/>
      </c>
      <c r="O77" s="29"/>
      <c r="P77" s="29"/>
      <c r="Q77" s="29"/>
      <c r="R77" s="29"/>
      <c r="S77" s="29"/>
      <c r="T77" s="29"/>
      <c r="U77" s="30"/>
    </row>
    <row r="78" spans="1:21" ht="13.5" thickBot="1" x14ac:dyDescent="0.25">
      <c r="A78" s="25"/>
      <c r="B78" s="40">
        <v>48</v>
      </c>
      <c r="C78" s="41" t="str">
        <f>IF(B78="","",INDEX(Calculos!$CO$4:$CO$75,MATCH(B78,Calculos!$CN$4:$CN$75,0)))</f>
        <v>26-Jun · Guadalajara</v>
      </c>
      <c r="D78" s="42" t="str">
        <f>Calculos!E11</f>
        <v>URUGUAY</v>
      </c>
      <c r="E78" s="17"/>
      <c r="F78" s="43" t="s">
        <v>8</v>
      </c>
      <c r="G78" s="107" t="str">
        <f>Calculos!B11</f>
        <v>ESPAÑA</v>
      </c>
      <c r="H78" s="107"/>
      <c r="I78" s="17"/>
      <c r="J78" s="29"/>
      <c r="K78" s="28"/>
      <c r="L78" s="27"/>
      <c r="M78" s="26"/>
      <c r="N78" s="26"/>
      <c r="O78" s="29"/>
      <c r="P78" s="29"/>
      <c r="Q78" s="29"/>
      <c r="R78" s="29"/>
      <c r="S78" s="29"/>
      <c r="T78" s="29"/>
      <c r="U78" s="30"/>
    </row>
    <row r="79" spans="1:21" ht="13.5" thickBot="1" x14ac:dyDescent="0.25">
      <c r="A79" s="25"/>
      <c r="B79" s="109" t="s">
        <v>36</v>
      </c>
      <c r="C79" s="109"/>
      <c r="D79" s="109"/>
      <c r="E79" s="109"/>
      <c r="F79" s="109"/>
      <c r="G79" s="109"/>
      <c r="H79" s="109"/>
      <c r="I79" s="109"/>
      <c r="J79" s="29"/>
      <c r="K79" s="92" t="s">
        <v>37</v>
      </c>
      <c r="L79" s="93"/>
      <c r="M79" s="93"/>
      <c r="N79" s="94"/>
      <c r="O79" s="29"/>
      <c r="P79" s="29"/>
      <c r="Q79" s="29"/>
      <c r="R79" s="29"/>
      <c r="S79" s="29"/>
      <c r="T79" s="29"/>
      <c r="U79" s="30"/>
    </row>
    <row r="80" spans="1:21" ht="13.5" hidden="1" thickBot="1" x14ac:dyDescent="0.25">
      <c r="A80" s="25"/>
      <c r="B80" s="59" t="s">
        <v>5</v>
      </c>
      <c r="C80" s="60" t="s">
        <v>826</v>
      </c>
      <c r="D80" s="59" t="s">
        <v>6</v>
      </c>
      <c r="E80" s="59" t="s">
        <v>7</v>
      </c>
      <c r="F80" s="59" t="s">
        <v>8</v>
      </c>
      <c r="G80" s="108" t="s">
        <v>9</v>
      </c>
      <c r="H80" s="108"/>
      <c r="I80" s="59" t="s">
        <v>10</v>
      </c>
      <c r="J80" s="29"/>
      <c r="K80" s="39"/>
      <c r="L80" s="29"/>
      <c r="M80" s="29"/>
      <c r="N80" s="29"/>
      <c r="O80" s="29"/>
      <c r="P80" s="29"/>
      <c r="Q80" s="29"/>
      <c r="R80" s="29"/>
      <c r="S80" s="29"/>
      <c r="T80" s="29"/>
      <c r="U80" s="30"/>
    </row>
    <row r="81" spans="1:21" x14ac:dyDescent="0.2">
      <c r="A81" s="25"/>
      <c r="B81" s="40">
        <v>49</v>
      </c>
      <c r="C81" s="41" t="str">
        <f>IF(B81="","",INDEX(Calculos!$CO$4:$CO$75,MATCH(B81,Calculos!$CN$4:$CN$75,0)))</f>
        <v>16-Jun · Nueva York</v>
      </c>
      <c r="D81" s="42" t="str">
        <f>Calculos!B12</f>
        <v>FRANCIA</v>
      </c>
      <c r="E81" s="17"/>
      <c r="F81" s="43" t="s">
        <v>8</v>
      </c>
      <c r="G81" s="107" t="str">
        <f>Calculos!C12</f>
        <v>SENEGAL</v>
      </c>
      <c r="H81" s="107"/>
      <c r="I81" s="17"/>
      <c r="J81" s="29"/>
      <c r="K81" s="44" t="s">
        <v>12</v>
      </c>
      <c r="L81" s="45" t="s">
        <v>13</v>
      </c>
      <c r="M81" s="45" t="s">
        <v>18</v>
      </c>
      <c r="N81" s="46" t="s">
        <v>19</v>
      </c>
      <c r="O81" s="29"/>
      <c r="P81" s="29"/>
      <c r="Q81" s="29"/>
      <c r="R81" s="29"/>
      <c r="S81" s="29"/>
      <c r="T81" s="29"/>
      <c r="U81" s="30"/>
    </row>
    <row r="82" spans="1:21" x14ac:dyDescent="0.2">
      <c r="A82" s="25"/>
      <c r="B82" s="40">
        <v>50</v>
      </c>
      <c r="C82" s="41" t="str">
        <f>IF(B82="","",INDEX(Calculos!$CO$4:$CO$75,MATCH(B82,Calculos!$CN$4:$CN$75,0)))</f>
        <v>16-Jun · Boston</v>
      </c>
      <c r="D82" s="42" t="str">
        <f>Calculos!D12</f>
        <v>IRAK</v>
      </c>
      <c r="E82" s="17"/>
      <c r="F82" s="43" t="s">
        <v>8</v>
      </c>
      <c r="G82" s="107" t="str">
        <f>Calculos!E12</f>
        <v>NORUEGA</v>
      </c>
      <c r="H82" s="107"/>
      <c r="I82" s="17"/>
      <c r="J82" s="29"/>
      <c r="K82" s="47">
        <v>1</v>
      </c>
      <c r="L82" s="48" t="str">
        <f>IF(COUNT($E$81:$E$86,$I$81:$I$86)=0,"",INDEX(Calculos!$A$142:$A$145,MATCH(1,Calculos!$K$142:$K$145,0)))</f>
        <v/>
      </c>
      <c r="M82" s="49" t="str">
        <f>IF(COUNT($E$81:$E$86,$I$81:$I$86)=0,"",INDEX(Calculos!$F$142:$F$145,MATCH(1,Calculos!$K$142:$K$145,0)))</f>
        <v/>
      </c>
      <c r="N82" s="50" t="str">
        <f>IF(COUNT($E$81:$E$86,$I$81:$I$86)=0,"",INDEX(Calculos!$I$142:$I$145,MATCH(1,Calculos!$K$142:$K$145,0)))</f>
        <v/>
      </c>
      <c r="O82" s="29"/>
      <c r="P82" s="29"/>
      <c r="Q82" s="29"/>
      <c r="R82" s="29"/>
      <c r="S82" s="29"/>
      <c r="T82" s="29"/>
      <c r="U82" s="30"/>
    </row>
    <row r="83" spans="1:21" x14ac:dyDescent="0.2">
      <c r="A83" s="25"/>
      <c r="B83" s="40">
        <v>51</v>
      </c>
      <c r="C83" s="41" t="str">
        <f>IF(B83="","",INDEX(Calculos!$CO$4:$CO$75,MATCH(B83,Calculos!$CN$4:$CN$75,0)))</f>
        <v>22-Jun · Filadelfia</v>
      </c>
      <c r="D83" s="42" t="str">
        <f>Calculos!B12</f>
        <v>FRANCIA</v>
      </c>
      <c r="E83" s="17"/>
      <c r="F83" s="43" t="s">
        <v>8</v>
      </c>
      <c r="G83" s="107" t="str">
        <f>Calculos!D12</f>
        <v>IRAK</v>
      </c>
      <c r="H83" s="107"/>
      <c r="I83" s="17"/>
      <c r="J83" s="29"/>
      <c r="K83" s="51">
        <v>2</v>
      </c>
      <c r="L83" s="52" t="str">
        <f>IF(COUNT($E$81:$E$86,$I$81:$I$86)=0,"",INDEX(Calculos!$A$142:$A$145,MATCH(2,Calculos!$K$142:$K$145,0)))</f>
        <v/>
      </c>
      <c r="M83" s="53" t="str">
        <f>IF(COUNT($E$81:$E$86,$I$81:$I$86)=0,"",INDEX(Calculos!$F$142:$F$145,MATCH(2,Calculos!$K$142:$K$145,0)))</f>
        <v/>
      </c>
      <c r="N83" s="54" t="str">
        <f>IF(COUNT($E$81:$E$86,$I$81:$I$86)=0,"",INDEX(Calculos!$I$142:$I$145,MATCH(2,Calculos!$K$142:$K$145,0)))</f>
        <v/>
      </c>
      <c r="O83" s="29"/>
      <c r="P83" s="29"/>
      <c r="Q83" s="29"/>
      <c r="R83" s="29"/>
      <c r="S83" s="29"/>
      <c r="T83" s="29"/>
      <c r="U83" s="30"/>
    </row>
    <row r="84" spans="1:21" x14ac:dyDescent="0.2">
      <c r="A84" s="25"/>
      <c r="B84" s="40">
        <v>52</v>
      </c>
      <c r="C84" s="41" t="str">
        <f>IF(B84="","",INDEX(Calculos!$CO$4:$CO$75,MATCH(B84,Calculos!$CN$4:$CN$75,0)))</f>
        <v>22-Jun · Nueva York</v>
      </c>
      <c r="D84" s="42" t="str">
        <f>Calculos!E12</f>
        <v>NORUEGA</v>
      </c>
      <c r="E84" s="17"/>
      <c r="F84" s="43" t="s">
        <v>8</v>
      </c>
      <c r="G84" s="107" t="str">
        <f>Calculos!C12</f>
        <v>SENEGAL</v>
      </c>
      <c r="H84" s="107"/>
      <c r="I84" s="17"/>
      <c r="J84" s="29"/>
      <c r="K84" s="51">
        <v>3</v>
      </c>
      <c r="L84" s="52" t="str">
        <f>IF(COUNT($E$81:$E$86,$I$81:$I$86)=0,"",INDEX(Calculos!$A$142:$A$145,MATCH(3,Calculos!$K$142:$K$145,0)))</f>
        <v/>
      </c>
      <c r="M84" s="53" t="str">
        <f>IF(COUNT($E$81:$E$86,$I$81:$I$86)=0,"",INDEX(Calculos!$F$142:$F$145,MATCH(3,Calculos!$K$142:$K$145,0)))</f>
        <v/>
      </c>
      <c r="N84" s="54" t="str">
        <f>IF(COUNT($E$81:$E$86,$I$81:$I$86)=0,"",INDEX(Calculos!$I$142:$I$145,MATCH(3,Calculos!$K$142:$K$145,0)))</f>
        <v/>
      </c>
      <c r="O84" s="29"/>
      <c r="P84" s="29"/>
      <c r="Q84" s="29"/>
      <c r="R84" s="29"/>
      <c r="S84" s="29"/>
      <c r="T84" s="29"/>
      <c r="U84" s="30"/>
    </row>
    <row r="85" spans="1:21" ht="13.5" thickBot="1" x14ac:dyDescent="0.25">
      <c r="A85" s="25"/>
      <c r="B85" s="40">
        <v>53</v>
      </c>
      <c r="C85" s="41" t="str">
        <f>IF(B85="","",INDEX(Calculos!$CO$4:$CO$75,MATCH(B85,Calculos!$CN$4:$CN$75,0)))</f>
        <v>26-Jun · Boston</v>
      </c>
      <c r="D85" s="42" t="str">
        <f>Calculos!E12</f>
        <v>NORUEGA</v>
      </c>
      <c r="E85" s="17"/>
      <c r="F85" s="43" t="s">
        <v>8</v>
      </c>
      <c r="G85" s="107" t="str">
        <f>Calculos!B12</f>
        <v>FRANCIA</v>
      </c>
      <c r="H85" s="107"/>
      <c r="I85" s="17"/>
      <c r="J85" s="29"/>
      <c r="K85" s="55">
        <v>4</v>
      </c>
      <c r="L85" s="56" t="str">
        <f>IF(COUNT($E$81:$E$86,$I$81:$I$86)=0,"",INDEX(Calculos!$A$142:$A$145,MATCH(4,Calculos!$K$142:$K$145,0)))</f>
        <v/>
      </c>
      <c r="M85" s="57" t="str">
        <f>IF(COUNT($E$81:$E$86,$I$81:$I$86)=0,"",INDEX(Calculos!$F$142:$F$145,MATCH(4,Calculos!$K$142:$K$145,0)))</f>
        <v/>
      </c>
      <c r="N85" s="58" t="str">
        <f>IF(COUNT($E$81:$E$86,$I$81:$I$86)=0,"",INDEX(Calculos!$I$142:$I$145,MATCH(4,Calculos!$K$142:$K$145,0)))</f>
        <v/>
      </c>
      <c r="O85" s="29"/>
      <c r="P85" s="29"/>
      <c r="Q85" s="29"/>
      <c r="R85" s="29"/>
      <c r="S85" s="29"/>
      <c r="T85" s="29"/>
      <c r="U85" s="30"/>
    </row>
    <row r="86" spans="1:21" ht="13.5" thickBot="1" x14ac:dyDescent="0.25">
      <c r="A86" s="25"/>
      <c r="B86" s="40">
        <v>54</v>
      </c>
      <c r="C86" s="41" t="str">
        <f>IF(B86="","",INDEX(Calculos!$CO$4:$CO$75,MATCH(B86,Calculos!$CN$4:$CN$75,0)))</f>
        <v>26-Jun · Toronto</v>
      </c>
      <c r="D86" s="42" t="str">
        <f>Calculos!C12</f>
        <v>SENEGAL</v>
      </c>
      <c r="E86" s="17"/>
      <c r="F86" s="43" t="s">
        <v>8</v>
      </c>
      <c r="G86" s="107" t="str">
        <f>Calculos!D12</f>
        <v>IRAK</v>
      </c>
      <c r="H86" s="107"/>
      <c r="I86" s="17"/>
      <c r="J86" s="29"/>
      <c r="K86" s="28"/>
      <c r="L86" s="27"/>
      <c r="M86" s="26"/>
      <c r="N86" s="26"/>
      <c r="O86" s="29"/>
      <c r="P86" s="29"/>
      <c r="Q86" s="29"/>
      <c r="R86" s="29"/>
      <c r="S86" s="29"/>
      <c r="T86" s="29"/>
      <c r="U86" s="30"/>
    </row>
    <row r="87" spans="1:21" ht="13.5" thickBot="1" x14ac:dyDescent="0.25">
      <c r="A87" s="25"/>
      <c r="B87" s="109" t="s">
        <v>38</v>
      </c>
      <c r="C87" s="109"/>
      <c r="D87" s="109"/>
      <c r="E87" s="109"/>
      <c r="F87" s="109"/>
      <c r="G87" s="109"/>
      <c r="H87" s="109"/>
      <c r="I87" s="109"/>
      <c r="J87" s="29"/>
      <c r="K87" s="92" t="s">
        <v>39</v>
      </c>
      <c r="L87" s="93"/>
      <c r="M87" s="93"/>
      <c r="N87" s="94"/>
      <c r="O87" s="29"/>
      <c r="P87" s="29"/>
      <c r="Q87" s="29"/>
      <c r="R87" s="29"/>
      <c r="S87" s="29"/>
      <c r="T87" s="29"/>
      <c r="U87" s="30"/>
    </row>
    <row r="88" spans="1:21" ht="13.5" hidden="1" thickBot="1" x14ac:dyDescent="0.25">
      <c r="A88" s="25"/>
      <c r="B88" s="59" t="s">
        <v>5</v>
      </c>
      <c r="C88" s="60" t="s">
        <v>826</v>
      </c>
      <c r="D88" s="59" t="s">
        <v>6</v>
      </c>
      <c r="E88" s="59" t="s">
        <v>7</v>
      </c>
      <c r="F88" s="59" t="s">
        <v>8</v>
      </c>
      <c r="G88" s="108" t="s">
        <v>9</v>
      </c>
      <c r="H88" s="108"/>
      <c r="I88" s="59" t="s">
        <v>10</v>
      </c>
      <c r="J88" s="29"/>
      <c r="K88" s="39"/>
      <c r="L88" s="29"/>
      <c r="M88" s="29"/>
      <c r="N88" s="29"/>
      <c r="O88" s="29"/>
      <c r="P88" s="29"/>
      <c r="Q88" s="29"/>
      <c r="R88" s="29"/>
      <c r="S88" s="29"/>
      <c r="T88" s="29"/>
      <c r="U88" s="30"/>
    </row>
    <row r="89" spans="1:21" x14ac:dyDescent="0.2">
      <c r="A89" s="25"/>
      <c r="B89" s="40">
        <v>55</v>
      </c>
      <c r="C89" s="41" t="str">
        <f>IF(B89="","",INDEX(Calculos!$CO$4:$CO$75,MATCH(B89,Calculos!$CN$4:$CN$75,0)))</f>
        <v>16-Jun · Kansas City</v>
      </c>
      <c r="D89" s="42" t="str">
        <f>Calculos!B13</f>
        <v>ARGENTINA</v>
      </c>
      <c r="E89" s="17"/>
      <c r="F89" s="43" t="s">
        <v>8</v>
      </c>
      <c r="G89" s="107" t="str">
        <f>Calculos!C13</f>
        <v>ARGELIA</v>
      </c>
      <c r="H89" s="107"/>
      <c r="I89" s="17"/>
      <c r="J89" s="29"/>
      <c r="K89" s="44" t="s">
        <v>12</v>
      </c>
      <c r="L89" s="45" t="s">
        <v>13</v>
      </c>
      <c r="M89" s="45" t="s">
        <v>18</v>
      </c>
      <c r="N89" s="46" t="s">
        <v>19</v>
      </c>
      <c r="O89" s="29"/>
      <c r="P89" s="29"/>
      <c r="Q89" s="29"/>
      <c r="R89" s="29"/>
      <c r="S89" s="29"/>
      <c r="T89" s="29"/>
      <c r="U89" s="30"/>
    </row>
    <row r="90" spans="1:21" ht="12.75" customHeight="1" x14ac:dyDescent="0.2">
      <c r="A90" s="25"/>
      <c r="B90" s="40">
        <v>56</v>
      </c>
      <c r="C90" s="41" t="str">
        <f>IF(B90="","",INDEX(Calculos!$CO$4:$CO$75,MATCH(B90,Calculos!$CN$4:$CN$75,0)))</f>
        <v>16-Jun · San Francisco</v>
      </c>
      <c r="D90" s="42" t="str">
        <f>Calculos!D13</f>
        <v>AUSTRIA</v>
      </c>
      <c r="E90" s="17"/>
      <c r="F90" s="43" t="s">
        <v>8</v>
      </c>
      <c r="G90" s="107" t="str">
        <f>Calculos!E13</f>
        <v>JORDANIA</v>
      </c>
      <c r="H90" s="107"/>
      <c r="I90" s="17"/>
      <c r="J90" s="29"/>
      <c r="K90" s="47">
        <v>1</v>
      </c>
      <c r="L90" s="48" t="str">
        <f>IF(COUNT($E$89:$E$94,$I$89:$I$94)=0,"",INDEX(Calculos!$A$156:$A$159,MATCH(1,Calculos!$K$156:$K$159,0)))</f>
        <v/>
      </c>
      <c r="M90" s="49" t="str">
        <f>IF(COUNT($E$89:$E$94,$I$89:$I$94)=0,"",INDEX(Calculos!$F$156:$F$159,MATCH(1,Calculos!$K$156:$K$159,0)))</f>
        <v/>
      </c>
      <c r="N90" s="50" t="str">
        <f>IF(COUNT($E$89:$E$94,$I$89:$I$94)=0,"",INDEX(Calculos!$I$156:$I$159,MATCH(1,Calculos!$K$156:$K$159,0)))</f>
        <v/>
      </c>
      <c r="O90" s="29"/>
      <c r="P90" s="29"/>
      <c r="Q90" s="29"/>
      <c r="R90" s="29"/>
      <c r="S90" s="29"/>
      <c r="T90" s="29"/>
      <c r="U90" s="30"/>
    </row>
    <row r="91" spans="1:21" x14ac:dyDescent="0.2">
      <c r="A91" s="25"/>
      <c r="B91" s="40">
        <v>57</v>
      </c>
      <c r="C91" s="41" t="str">
        <f>IF(B91="","",INDEX(Calculos!$CO$4:$CO$75,MATCH(B91,Calculos!$CN$4:$CN$75,0)))</f>
        <v>22-Jun · Dallas</v>
      </c>
      <c r="D91" s="42" t="str">
        <f>Calculos!B13</f>
        <v>ARGENTINA</v>
      </c>
      <c r="E91" s="17"/>
      <c r="F91" s="43" t="s">
        <v>8</v>
      </c>
      <c r="G91" s="107" t="str">
        <f>Calculos!D13</f>
        <v>AUSTRIA</v>
      </c>
      <c r="H91" s="107"/>
      <c r="I91" s="17"/>
      <c r="J91" s="29"/>
      <c r="K91" s="51">
        <v>2</v>
      </c>
      <c r="L91" s="52" t="str">
        <f>IF(COUNT($E$89:$E$94,$I$89:$I$94)=0,"",INDEX(Calculos!$A$156:$A$159,MATCH(2,Calculos!$K$156:$K$159,0)))</f>
        <v/>
      </c>
      <c r="M91" s="53" t="str">
        <f>IF(COUNT($E$89:$E$94,$I$89:$I$94)=0,"",INDEX(Calculos!$F$156:$F$159,MATCH(2,Calculos!$K$156:$K$159,0)))</f>
        <v/>
      </c>
      <c r="N91" s="54" t="str">
        <f>IF(COUNT($E$89:$E$94,$I$89:$I$94)=0,"",INDEX(Calculos!$I$156:$I$159,MATCH(2,Calculos!$K$156:$K$159,0)))</f>
        <v/>
      </c>
      <c r="O91" s="29"/>
      <c r="P91" s="29"/>
      <c r="Q91" s="29"/>
      <c r="R91" s="29"/>
      <c r="S91" s="29"/>
      <c r="T91" s="29"/>
      <c r="U91" s="30"/>
    </row>
    <row r="92" spans="1:21" ht="12.75" customHeight="1" x14ac:dyDescent="0.2">
      <c r="A92" s="25"/>
      <c r="B92" s="40">
        <v>58</v>
      </c>
      <c r="C92" s="41" t="str">
        <f>IF(B92="","",INDEX(Calculos!$CO$4:$CO$75,MATCH(B92,Calculos!$CN$4:$CN$75,0)))</f>
        <v>22-Jun · San Francisco</v>
      </c>
      <c r="D92" s="42" t="str">
        <f>Calculos!E13</f>
        <v>JORDANIA</v>
      </c>
      <c r="E92" s="17"/>
      <c r="F92" s="43" t="s">
        <v>8</v>
      </c>
      <c r="G92" s="107" t="str">
        <f>Calculos!C13</f>
        <v>ARGELIA</v>
      </c>
      <c r="H92" s="107"/>
      <c r="I92" s="17"/>
      <c r="J92" s="29"/>
      <c r="K92" s="51">
        <v>3</v>
      </c>
      <c r="L92" s="52" t="str">
        <f>IF(COUNT($E$89:$E$94,$I$89:$I$94)=0,"",INDEX(Calculos!$A$156:$A$159,MATCH(3,Calculos!$K$156:$K$159,0)))</f>
        <v/>
      </c>
      <c r="M92" s="53" t="str">
        <f>IF(COUNT($E$89:$E$94,$I$89:$I$94)=0,"",INDEX(Calculos!$F$156:$F$159,MATCH(3,Calculos!$K$156:$K$159,0)))</f>
        <v/>
      </c>
      <c r="N92" s="54" t="str">
        <f>IF(COUNT($E$89:$E$94,$I$89:$I$94)=0,"",INDEX(Calculos!$I$156:$I$159,MATCH(3,Calculos!$K$156:$K$159,0)))</f>
        <v/>
      </c>
      <c r="O92" s="29"/>
      <c r="P92" s="29"/>
      <c r="Q92" s="29"/>
      <c r="R92" s="29"/>
      <c r="S92" s="29"/>
      <c r="T92" s="29"/>
      <c r="U92" s="30"/>
    </row>
    <row r="93" spans="1:21" ht="13.5" thickBot="1" x14ac:dyDescent="0.25">
      <c r="A93" s="25"/>
      <c r="B93" s="40">
        <v>59</v>
      </c>
      <c r="C93" s="41" t="str">
        <f>IF(B93="","",INDEX(Calculos!$CO$4:$CO$75,MATCH(B93,Calculos!$CN$4:$CN$75,0)))</f>
        <v>27-Jun · Kansas City</v>
      </c>
      <c r="D93" s="42" t="str">
        <f>Calculos!C13</f>
        <v>ARGELIA</v>
      </c>
      <c r="E93" s="17"/>
      <c r="F93" s="43" t="s">
        <v>8</v>
      </c>
      <c r="G93" s="107" t="str">
        <f>Calculos!D13</f>
        <v>AUSTRIA</v>
      </c>
      <c r="H93" s="107"/>
      <c r="I93" s="17"/>
      <c r="J93" s="29"/>
      <c r="K93" s="55">
        <v>4</v>
      </c>
      <c r="L93" s="56" t="str">
        <f>IF(COUNT($E$89:$E$94,$I$89:$I$94)=0,"",INDEX(Calculos!$A$156:$A$159,MATCH(4,Calculos!$K$156:$K$159,0)))</f>
        <v/>
      </c>
      <c r="M93" s="57" t="str">
        <f>IF(COUNT($E$89:$E$94,$I$89:$I$94)=0,"",INDEX(Calculos!$F$156:$F$159,MATCH(4,Calculos!$K$156:$K$159,0)))</f>
        <v/>
      </c>
      <c r="N93" s="58" t="str">
        <f>IF(COUNT($E$89:$E$94,$I$89:$I$94)=0,"",INDEX(Calculos!$I$156:$I$159,MATCH(4,Calculos!$K$156:$K$159,0)))</f>
        <v/>
      </c>
      <c r="O93" s="29"/>
      <c r="P93" s="29"/>
      <c r="Q93" s="29"/>
      <c r="R93" s="29"/>
      <c r="S93" s="29"/>
      <c r="T93" s="29"/>
      <c r="U93" s="30"/>
    </row>
    <row r="94" spans="1:21" ht="13.5" thickBot="1" x14ac:dyDescent="0.25">
      <c r="A94" s="25"/>
      <c r="B94" s="40">
        <v>60</v>
      </c>
      <c r="C94" s="41" t="str">
        <f>IF(B94="","",INDEX(Calculos!$CO$4:$CO$75,MATCH(B94,Calculos!$CN$4:$CN$75,0)))</f>
        <v>27-Jun · Dallas</v>
      </c>
      <c r="D94" s="42" t="str">
        <f>Calculos!E13</f>
        <v>JORDANIA</v>
      </c>
      <c r="E94" s="17"/>
      <c r="F94" s="43" t="s">
        <v>8</v>
      </c>
      <c r="G94" s="107" t="str">
        <f>Calculos!B13</f>
        <v>ARGENTINA</v>
      </c>
      <c r="H94" s="107"/>
      <c r="I94" s="17"/>
      <c r="J94" s="29"/>
      <c r="K94" s="28"/>
      <c r="L94" s="27"/>
      <c r="M94" s="26"/>
      <c r="N94" s="26"/>
      <c r="O94" s="29"/>
      <c r="P94" s="29"/>
      <c r="Q94" s="29"/>
      <c r="R94" s="29"/>
      <c r="S94" s="29"/>
      <c r="T94" s="29"/>
      <c r="U94" s="30"/>
    </row>
    <row r="95" spans="1:21" ht="13.5" thickBot="1" x14ac:dyDescent="0.25">
      <c r="A95" s="25"/>
      <c r="B95" s="109" t="s">
        <v>40</v>
      </c>
      <c r="C95" s="109"/>
      <c r="D95" s="109"/>
      <c r="E95" s="109"/>
      <c r="F95" s="109"/>
      <c r="G95" s="109"/>
      <c r="H95" s="109"/>
      <c r="I95" s="109"/>
      <c r="J95" s="29"/>
      <c r="K95" s="92" t="s">
        <v>41</v>
      </c>
      <c r="L95" s="93"/>
      <c r="M95" s="93"/>
      <c r="N95" s="94"/>
      <c r="O95" s="29"/>
      <c r="P95" s="29"/>
      <c r="Q95" s="29"/>
      <c r="R95" s="29"/>
      <c r="S95" s="29"/>
      <c r="T95" s="29"/>
      <c r="U95" s="30"/>
    </row>
    <row r="96" spans="1:21" ht="13.5" hidden="1" thickBot="1" x14ac:dyDescent="0.25">
      <c r="A96" s="25"/>
      <c r="B96" s="59" t="s">
        <v>5</v>
      </c>
      <c r="C96" s="60" t="s">
        <v>826</v>
      </c>
      <c r="D96" s="59" t="s">
        <v>6</v>
      </c>
      <c r="E96" s="59" t="s">
        <v>7</v>
      </c>
      <c r="F96" s="59" t="s">
        <v>8</v>
      </c>
      <c r="G96" s="108" t="s">
        <v>9</v>
      </c>
      <c r="H96" s="108"/>
      <c r="I96" s="59" t="s">
        <v>10</v>
      </c>
      <c r="J96" s="29"/>
      <c r="K96" s="39"/>
      <c r="L96" s="29"/>
      <c r="M96" s="29"/>
      <c r="N96" s="29"/>
      <c r="O96" s="29"/>
      <c r="P96" s="29"/>
      <c r="Q96" s="29"/>
      <c r="R96" s="29"/>
      <c r="S96" s="29"/>
      <c r="T96" s="29"/>
      <c r="U96" s="30"/>
    </row>
    <row r="97" spans="1:21" x14ac:dyDescent="0.2">
      <c r="A97" s="25"/>
      <c r="B97" s="40">
        <v>61</v>
      </c>
      <c r="C97" s="41" t="str">
        <f>IF(B97="","",INDEX(Calculos!$CO$4:$CO$75,MATCH(B97,Calculos!$CN$4:$CN$75,0)))</f>
        <v>17-Jun · Houston</v>
      </c>
      <c r="D97" s="42" t="str">
        <f>Calculos!B14</f>
        <v>PORTUGAL</v>
      </c>
      <c r="E97" s="17"/>
      <c r="F97" s="43" t="s">
        <v>8</v>
      </c>
      <c r="G97" s="107" t="str">
        <f>Calculos!C14</f>
        <v>RD CONGO</v>
      </c>
      <c r="H97" s="107"/>
      <c r="I97" s="17"/>
      <c r="J97" s="29"/>
      <c r="K97" s="44" t="s">
        <v>12</v>
      </c>
      <c r="L97" s="45" t="s">
        <v>13</v>
      </c>
      <c r="M97" s="45" t="s">
        <v>18</v>
      </c>
      <c r="N97" s="46" t="s">
        <v>19</v>
      </c>
      <c r="O97" s="29"/>
      <c r="P97" s="29"/>
      <c r="Q97" s="29"/>
      <c r="R97" s="29"/>
      <c r="S97" s="29"/>
      <c r="T97" s="29"/>
      <c r="U97" s="30"/>
    </row>
    <row r="98" spans="1:21" x14ac:dyDescent="0.2">
      <c r="A98" s="25"/>
      <c r="B98" s="40">
        <v>62</v>
      </c>
      <c r="C98" s="41" t="str">
        <f>IF(B98="","",INDEX(Calculos!$CO$4:$CO$75,MATCH(B98,Calculos!$CN$4:$CN$75,0)))</f>
        <v>17-Jun · Cd. México</v>
      </c>
      <c r="D98" s="42" t="str">
        <f>Calculos!D14</f>
        <v>UZBEKISTAN</v>
      </c>
      <c r="E98" s="17"/>
      <c r="F98" s="43" t="s">
        <v>8</v>
      </c>
      <c r="G98" s="107" t="str">
        <f>Calculos!E14</f>
        <v>COLOMBIA</v>
      </c>
      <c r="H98" s="107"/>
      <c r="I98" s="17"/>
      <c r="J98" s="29"/>
      <c r="K98" s="47">
        <v>1</v>
      </c>
      <c r="L98" s="48" t="str">
        <f>IF(COUNT($E$97:$E$102,$I$97:$I$102)=0,"",INDEX(Calculos!$A$170:$A$173,MATCH(1,Calculos!$K$170:$K$173,0)))</f>
        <v/>
      </c>
      <c r="M98" s="49" t="str">
        <f>IF(COUNT($E$97:$E$102,$I$97:$I$102)=0,"",INDEX(Calculos!$F$170:$F$173,MATCH(1,Calculos!$K$170:$K$173,0)))</f>
        <v/>
      </c>
      <c r="N98" s="50" t="str">
        <f>IF(COUNT($E$97:$E$102,$I$97:$I$102)=0,"",INDEX(Calculos!$I$170:$I$173,MATCH(1,Calculos!$K$170:$K$173,0)))</f>
        <v/>
      </c>
      <c r="O98" s="29"/>
      <c r="P98" s="29"/>
      <c r="Q98" s="29"/>
      <c r="R98" s="29"/>
      <c r="S98" s="29"/>
      <c r="T98" s="29"/>
      <c r="U98" s="30"/>
    </row>
    <row r="99" spans="1:21" x14ac:dyDescent="0.2">
      <c r="A99" s="25"/>
      <c r="B99" s="40">
        <v>63</v>
      </c>
      <c r="C99" s="41" t="str">
        <f>IF(B99="","",INDEX(Calculos!$CO$4:$CO$75,MATCH(B99,Calculos!$CN$4:$CN$75,0)))</f>
        <v>23-Jun · Houston</v>
      </c>
      <c r="D99" s="42" t="str">
        <f>Calculos!B14</f>
        <v>PORTUGAL</v>
      </c>
      <c r="E99" s="17"/>
      <c r="F99" s="43" t="s">
        <v>8</v>
      </c>
      <c r="G99" s="107" t="str">
        <f>Calculos!D14</f>
        <v>UZBEKISTAN</v>
      </c>
      <c r="H99" s="107"/>
      <c r="I99" s="17"/>
      <c r="J99" s="29"/>
      <c r="K99" s="51">
        <v>2</v>
      </c>
      <c r="L99" s="52" t="str">
        <f>IF(COUNT($E$97:$E$102,$I$97:$I$102)=0,"",INDEX(Calculos!$A$170:$A$173,MATCH(2,Calculos!$K$170:$K$173,0)))</f>
        <v/>
      </c>
      <c r="M99" s="53" t="str">
        <f>IF(COUNT($E$97:$E$102,$I$97:$I$102)=0,"",INDEX(Calculos!$F$170:$F$173,MATCH(2,Calculos!$K$170:$K$173,0)))</f>
        <v/>
      </c>
      <c r="N99" s="54" t="str">
        <f>IF(COUNT($E$97:$E$102,$I$97:$I$102)=0,"",INDEX(Calculos!$I$170:$I$173,MATCH(2,Calculos!$K$170:$K$173,0)))</f>
        <v/>
      </c>
      <c r="O99" s="29"/>
      <c r="P99" s="29"/>
      <c r="Q99" s="29"/>
      <c r="R99" s="29"/>
      <c r="S99" s="29"/>
      <c r="T99" s="29"/>
      <c r="U99" s="30"/>
    </row>
    <row r="100" spans="1:21" x14ac:dyDescent="0.2">
      <c r="A100" s="25"/>
      <c r="B100" s="40">
        <v>64</v>
      </c>
      <c r="C100" s="41" t="str">
        <f>IF(B100="","",INDEX(Calculos!$CO$4:$CO$75,MATCH(B100,Calculos!$CN$4:$CN$75,0)))</f>
        <v>23-Jun · Guadalajara</v>
      </c>
      <c r="D100" s="42" t="str">
        <f>Calculos!E14</f>
        <v>COLOMBIA</v>
      </c>
      <c r="E100" s="17"/>
      <c r="F100" s="43" t="s">
        <v>8</v>
      </c>
      <c r="G100" s="107" t="str">
        <f>Calculos!C14</f>
        <v>RD CONGO</v>
      </c>
      <c r="H100" s="107"/>
      <c r="I100" s="17"/>
      <c r="J100" s="29"/>
      <c r="K100" s="51">
        <v>3</v>
      </c>
      <c r="L100" s="52" t="str">
        <f>IF(COUNT($E$97:$E$102,$I$97:$I$102)=0,"",INDEX(Calculos!$A$170:$A$173,MATCH(3,Calculos!$K$170:$K$173,0)))</f>
        <v/>
      </c>
      <c r="M100" s="53" t="str">
        <f>IF(COUNT($E$97:$E$102,$I$97:$I$102)=0,"",INDEX(Calculos!$F$170:$F$173,MATCH(3,Calculos!$K$170:$K$173,0)))</f>
        <v/>
      </c>
      <c r="N100" s="54" t="str">
        <f>IF(COUNT($E$97:$E$102,$I$97:$I$102)=0,"",INDEX(Calculos!$I$170:$I$173,MATCH(3,Calculos!$K$170:$K$173,0)))</f>
        <v/>
      </c>
      <c r="O100" s="29"/>
      <c r="P100" s="29"/>
      <c r="Q100" s="29"/>
      <c r="R100" s="29"/>
      <c r="S100" s="29"/>
      <c r="T100" s="29"/>
      <c r="U100" s="30"/>
    </row>
    <row r="101" spans="1:21" ht="13.5" thickBot="1" x14ac:dyDescent="0.25">
      <c r="A101" s="25"/>
      <c r="B101" s="40">
        <v>65</v>
      </c>
      <c r="C101" s="41" t="str">
        <f>IF(B101="","",INDEX(Calculos!$CO$4:$CO$75,MATCH(B101,Calculos!$CN$4:$CN$75,0)))</f>
        <v>27-Jun · Miami</v>
      </c>
      <c r="D101" s="42" t="str">
        <f>Calculos!E14</f>
        <v>COLOMBIA</v>
      </c>
      <c r="E101" s="17"/>
      <c r="F101" s="43" t="s">
        <v>8</v>
      </c>
      <c r="G101" s="107" t="str">
        <f>Calculos!B14</f>
        <v>PORTUGAL</v>
      </c>
      <c r="H101" s="107"/>
      <c r="I101" s="17"/>
      <c r="J101" s="29"/>
      <c r="K101" s="55">
        <v>4</v>
      </c>
      <c r="L101" s="56" t="str">
        <f>IF(COUNT($E$97:$E$102,$I$97:$I$102)=0,"",INDEX(Calculos!$A$170:$A$173,MATCH(4,Calculos!$K$170:$K$173,0)))</f>
        <v/>
      </c>
      <c r="M101" s="57" t="str">
        <f>IF(COUNT($E$97:$E$102,$I$97:$I$102)=0,"",INDEX(Calculos!$F$170:$F$173,MATCH(4,Calculos!$K$170:$K$173,0)))</f>
        <v/>
      </c>
      <c r="N101" s="58" t="str">
        <f>IF(COUNT($E$97:$E$102,$I$97:$I$102)=0,"",INDEX(Calculos!$I$170:$I$173,MATCH(4,Calculos!$K$170:$K$173,0)))</f>
        <v/>
      </c>
      <c r="O101" s="29"/>
      <c r="P101" s="29"/>
      <c r="Q101" s="29"/>
      <c r="R101" s="29"/>
      <c r="S101" s="29"/>
      <c r="T101" s="29"/>
      <c r="U101" s="30"/>
    </row>
    <row r="102" spans="1:21" ht="13.5" thickBot="1" x14ac:dyDescent="0.25">
      <c r="A102" s="25"/>
      <c r="B102" s="40">
        <v>66</v>
      </c>
      <c r="C102" s="41" t="str">
        <f>IF(B102="","",INDEX(Calculos!$CO$4:$CO$75,MATCH(B102,Calculos!$CN$4:$CN$75,0)))</f>
        <v>27-Jun · Atlanta</v>
      </c>
      <c r="D102" s="42" t="str">
        <f>Calculos!C14</f>
        <v>RD CONGO</v>
      </c>
      <c r="E102" s="17"/>
      <c r="F102" s="43" t="s">
        <v>8</v>
      </c>
      <c r="G102" s="107" t="str">
        <f>Calculos!D14</f>
        <v>UZBEKISTAN</v>
      </c>
      <c r="H102" s="107"/>
      <c r="I102" s="17"/>
      <c r="J102" s="29"/>
      <c r="K102" s="28"/>
      <c r="L102" s="27"/>
      <c r="M102" s="26"/>
      <c r="N102" s="26"/>
      <c r="O102" s="29"/>
      <c r="P102" s="29"/>
      <c r="Q102" s="29"/>
      <c r="R102" s="29"/>
      <c r="S102" s="29"/>
      <c r="T102" s="29"/>
      <c r="U102" s="30"/>
    </row>
    <row r="103" spans="1:21" ht="13.5" thickBot="1" x14ac:dyDescent="0.25">
      <c r="A103" s="25"/>
      <c r="B103" s="109" t="s">
        <v>42</v>
      </c>
      <c r="C103" s="109"/>
      <c r="D103" s="109"/>
      <c r="E103" s="109"/>
      <c r="F103" s="109"/>
      <c r="G103" s="109"/>
      <c r="H103" s="109"/>
      <c r="I103" s="109"/>
      <c r="J103" s="29"/>
      <c r="K103" s="92" t="s">
        <v>43</v>
      </c>
      <c r="L103" s="93"/>
      <c r="M103" s="93"/>
      <c r="N103" s="94"/>
      <c r="O103" s="29"/>
      <c r="P103" s="29"/>
      <c r="Q103" s="29"/>
      <c r="R103" s="29"/>
      <c r="S103" s="29"/>
      <c r="T103" s="29"/>
      <c r="U103" s="30"/>
    </row>
    <row r="104" spans="1:21" ht="13.5" hidden="1" thickBot="1" x14ac:dyDescent="0.25">
      <c r="A104" s="25"/>
      <c r="B104" s="59" t="s">
        <v>5</v>
      </c>
      <c r="C104" s="60" t="s">
        <v>826</v>
      </c>
      <c r="D104" s="59" t="s">
        <v>6</v>
      </c>
      <c r="E104" s="59" t="s">
        <v>7</v>
      </c>
      <c r="F104" s="59" t="s">
        <v>8</v>
      </c>
      <c r="G104" s="108" t="s">
        <v>9</v>
      </c>
      <c r="H104" s="108"/>
      <c r="I104" s="59" t="s">
        <v>10</v>
      </c>
      <c r="J104" s="29"/>
      <c r="K104" s="39"/>
      <c r="L104" s="29"/>
      <c r="M104" s="29"/>
      <c r="N104" s="29"/>
      <c r="O104" s="29"/>
      <c r="P104" s="29"/>
      <c r="Q104" s="29"/>
      <c r="R104" s="29"/>
      <c r="S104" s="29"/>
      <c r="T104" s="29"/>
      <c r="U104" s="30"/>
    </row>
    <row r="105" spans="1:21" x14ac:dyDescent="0.2">
      <c r="A105" s="25"/>
      <c r="B105" s="40">
        <v>67</v>
      </c>
      <c r="C105" s="41" t="str">
        <f>IF(B105="","",INDEX(Calculos!$CO$4:$CO$75,MATCH(B105,Calculos!$CN$4:$CN$75,0)))</f>
        <v>17-Jun · Dallas</v>
      </c>
      <c r="D105" s="42" t="str">
        <f>Calculos!B15</f>
        <v>INGLATERRA</v>
      </c>
      <c r="E105" s="17"/>
      <c r="F105" s="43" t="s">
        <v>8</v>
      </c>
      <c r="G105" s="107" t="str">
        <f>Calculos!C15</f>
        <v>CROACIA</v>
      </c>
      <c r="H105" s="107"/>
      <c r="I105" s="17"/>
      <c r="J105" s="29"/>
      <c r="K105" s="44" t="s">
        <v>12</v>
      </c>
      <c r="L105" s="45" t="s">
        <v>13</v>
      </c>
      <c r="M105" s="45" t="s">
        <v>18</v>
      </c>
      <c r="N105" s="46" t="s">
        <v>19</v>
      </c>
      <c r="O105" s="29"/>
      <c r="P105" s="29"/>
      <c r="Q105" s="29"/>
      <c r="R105" s="29"/>
      <c r="S105" s="29"/>
      <c r="T105" s="29"/>
      <c r="U105" s="30"/>
    </row>
    <row r="106" spans="1:21" x14ac:dyDescent="0.2">
      <c r="A106" s="25"/>
      <c r="B106" s="40">
        <v>68</v>
      </c>
      <c r="C106" s="41" t="str">
        <f>IF(B106="","",INDEX(Calculos!$CO$4:$CO$75,MATCH(B106,Calculos!$CN$4:$CN$75,0)))</f>
        <v>17-Jun · Toronto</v>
      </c>
      <c r="D106" s="42" t="str">
        <f>Calculos!D15</f>
        <v>GHANA</v>
      </c>
      <c r="E106" s="17"/>
      <c r="F106" s="43" t="s">
        <v>8</v>
      </c>
      <c r="G106" s="107" t="str">
        <f>Calculos!E15</f>
        <v>PANAMA</v>
      </c>
      <c r="H106" s="107"/>
      <c r="I106" s="17"/>
      <c r="J106" s="29"/>
      <c r="K106" s="47">
        <v>1</v>
      </c>
      <c r="L106" s="48" t="str">
        <f>IF(COUNT($E$105:$E$110,$I$105:$I$110)=0,"",INDEX(Calculos!$A$184:$A$187,MATCH(1,Calculos!$K$184:$K$187,0)))</f>
        <v/>
      </c>
      <c r="M106" s="49" t="str">
        <f>IF(COUNT($E$105:$E$110,$I$105:$I$110)=0,"",INDEX(Calculos!$F$184:$F$187,MATCH(1,Calculos!$K$184:$K$187,0)))</f>
        <v/>
      </c>
      <c r="N106" s="50" t="str">
        <f>IF(COUNT($E$105:$E$110,$I$105:$I$110)=0,"",INDEX(Calculos!$I$184:$I$187,MATCH(1,Calculos!$K$184:$K$187,0)))</f>
        <v/>
      </c>
      <c r="O106" s="29"/>
      <c r="P106" s="29"/>
      <c r="Q106" s="29"/>
      <c r="R106" s="29"/>
      <c r="S106" s="29"/>
      <c r="T106" s="29"/>
      <c r="U106" s="30"/>
    </row>
    <row r="107" spans="1:21" x14ac:dyDescent="0.2">
      <c r="A107" s="25"/>
      <c r="B107" s="40">
        <v>69</v>
      </c>
      <c r="C107" s="41" t="str">
        <f>IF(B107="","",INDEX(Calculos!$CO$4:$CO$75,MATCH(B107,Calculos!$CN$4:$CN$75,0)))</f>
        <v>23-Jun · Boston</v>
      </c>
      <c r="D107" s="42" t="str">
        <f>Calculos!B15</f>
        <v>INGLATERRA</v>
      </c>
      <c r="E107" s="17"/>
      <c r="F107" s="43" t="s">
        <v>8</v>
      </c>
      <c r="G107" s="107" t="str">
        <f>Calculos!D15</f>
        <v>GHANA</v>
      </c>
      <c r="H107" s="107"/>
      <c r="I107" s="17"/>
      <c r="J107" s="29"/>
      <c r="K107" s="51">
        <v>2</v>
      </c>
      <c r="L107" s="52" t="str">
        <f>IF(COUNT($E$105:$E$110,$I$105:$I$110)=0,"",INDEX(Calculos!$A$184:$A$187,MATCH(2,Calculos!$K$184:$K$187,0)))</f>
        <v/>
      </c>
      <c r="M107" s="53" t="str">
        <f>IF(COUNT($E$105:$E$110,$I$105:$I$110)=0,"",INDEX(Calculos!$F$184:$F$187,MATCH(2,Calculos!$K$184:$K$187,0)))</f>
        <v/>
      </c>
      <c r="N107" s="54" t="str">
        <f>IF(COUNT($E$105:$E$110,$I$105:$I$110)=0,"",INDEX(Calculos!$I$184:$I$187,MATCH(2,Calculos!$K$184:$K$187,0)))</f>
        <v/>
      </c>
      <c r="O107" s="29"/>
      <c r="P107" s="29"/>
      <c r="Q107" s="29"/>
      <c r="R107" s="29"/>
      <c r="S107" s="29"/>
      <c r="T107" s="29"/>
      <c r="U107" s="30"/>
    </row>
    <row r="108" spans="1:21" x14ac:dyDescent="0.2">
      <c r="A108" s="25"/>
      <c r="B108" s="40">
        <v>70</v>
      </c>
      <c r="C108" s="41" t="str">
        <f>IF(B108="","",INDEX(Calculos!$CO$4:$CO$75,MATCH(B108,Calculos!$CN$4:$CN$75,0)))</f>
        <v>23-Jun · Toronto</v>
      </c>
      <c r="D108" s="42" t="str">
        <f>Calculos!E15</f>
        <v>PANAMA</v>
      </c>
      <c r="E108" s="17"/>
      <c r="F108" s="43" t="s">
        <v>8</v>
      </c>
      <c r="G108" s="107" t="str">
        <f>Calculos!C15</f>
        <v>CROACIA</v>
      </c>
      <c r="H108" s="107"/>
      <c r="I108" s="17"/>
      <c r="J108" s="29"/>
      <c r="K108" s="51">
        <v>3</v>
      </c>
      <c r="L108" s="52" t="str">
        <f>IF(COUNT($E$105:$E$110,$I$105:$I$110)=0,"",INDEX(Calculos!$A$184:$A$187,MATCH(3,Calculos!$K$184:$K$187,0)))</f>
        <v/>
      </c>
      <c r="M108" s="53" t="str">
        <f>IF(COUNT($E$105:$E$110,$I$105:$I$110)=0,"",INDEX(Calculos!$F$184:$F$187,MATCH(3,Calculos!$K$184:$K$187,0)))</f>
        <v/>
      </c>
      <c r="N108" s="54" t="str">
        <f>IF(COUNT($E$105:$E$110,$I$105:$I$110)=0,"",INDEX(Calculos!$I$184:$I$187,MATCH(3,Calculos!$K$184:$K$187,0)))</f>
        <v/>
      </c>
      <c r="O108" s="29"/>
      <c r="P108" s="29"/>
      <c r="Q108" s="29"/>
      <c r="R108" s="29"/>
      <c r="S108" s="29"/>
      <c r="T108" s="29"/>
      <c r="U108" s="30"/>
    </row>
    <row r="109" spans="1:21" ht="13.5" thickBot="1" x14ac:dyDescent="0.25">
      <c r="A109" s="25"/>
      <c r="B109" s="40">
        <v>71</v>
      </c>
      <c r="C109" s="41" t="str">
        <f>IF(B109="","",INDEX(Calculos!$CO$4:$CO$75,MATCH(B109,Calculos!$CN$4:$CN$75,0)))</f>
        <v>27-Jun · Nueva York</v>
      </c>
      <c r="D109" s="42" t="str">
        <f>Calculos!E15</f>
        <v>PANAMA</v>
      </c>
      <c r="E109" s="17"/>
      <c r="F109" s="43" t="s">
        <v>8</v>
      </c>
      <c r="G109" s="107" t="str">
        <f>Calculos!B15</f>
        <v>INGLATERRA</v>
      </c>
      <c r="H109" s="107"/>
      <c r="I109" s="17"/>
      <c r="J109" s="29"/>
      <c r="K109" s="55">
        <v>4</v>
      </c>
      <c r="L109" s="56" t="str">
        <f>IF(COUNT($E$105:$E$110,$I$105:$I$110)=0,"",INDEX(Calculos!$A$184:$A$187,MATCH(4,Calculos!$K$184:$K$187,0)))</f>
        <v/>
      </c>
      <c r="M109" s="57" t="str">
        <f>IF(COUNT($E$105:$E$110,$I$105:$I$110)=0,"",INDEX(Calculos!$F$184:$F$187,MATCH(4,Calculos!$K$184:$K$187,0)))</f>
        <v/>
      </c>
      <c r="N109" s="58" t="str">
        <f>IF(COUNT($E$105:$E$110,$I$105:$I$110)=0,"",INDEX(Calculos!$I$184:$I$187,MATCH(4,Calculos!$K$184:$K$187,0)))</f>
        <v/>
      </c>
      <c r="O109" s="26"/>
      <c r="P109" s="26"/>
      <c r="Q109" s="26"/>
      <c r="R109" s="26"/>
      <c r="S109" s="29"/>
      <c r="T109" s="29"/>
      <c r="U109" s="30"/>
    </row>
    <row r="110" spans="1:21" ht="13.5" thickBot="1" x14ac:dyDescent="0.25">
      <c r="A110" s="25"/>
      <c r="B110" s="40">
        <v>72</v>
      </c>
      <c r="C110" s="41" t="str">
        <f>IF(B110="","",INDEX(Calculos!$CO$4:$CO$75,MATCH(B110,Calculos!$CN$4:$CN$75,0)))</f>
        <v>27-Jun · Filadelfia</v>
      </c>
      <c r="D110" s="42" t="str">
        <f>Calculos!C15</f>
        <v>CROACIA</v>
      </c>
      <c r="E110" s="17"/>
      <c r="F110" s="43" t="s">
        <v>8</v>
      </c>
      <c r="G110" s="107" t="str">
        <f>Calculos!D15</f>
        <v>GHANA</v>
      </c>
      <c r="H110" s="107"/>
      <c r="I110" s="17"/>
      <c r="J110" s="29"/>
      <c r="K110" s="28"/>
      <c r="L110" s="27"/>
      <c r="M110" s="26"/>
      <c r="N110" s="26"/>
      <c r="O110" s="26"/>
      <c r="P110" s="26"/>
      <c r="Q110" s="26"/>
      <c r="R110" s="26"/>
      <c r="S110" s="29"/>
      <c r="T110" s="29"/>
      <c r="U110" s="30"/>
    </row>
    <row r="111" spans="1:21" ht="13.5" thickBot="1" x14ac:dyDescent="0.25">
      <c r="A111" s="25"/>
      <c r="B111" s="26"/>
      <c r="C111" s="26"/>
      <c r="D111" s="27"/>
      <c r="E111" s="27"/>
      <c r="F111" s="26"/>
      <c r="G111" s="26"/>
      <c r="H111" s="26"/>
      <c r="I111" s="27"/>
      <c r="J111" s="26"/>
      <c r="K111" s="92" t="s">
        <v>827</v>
      </c>
      <c r="L111" s="93"/>
      <c r="M111" s="93"/>
      <c r="N111" s="94"/>
      <c r="O111" s="29"/>
      <c r="P111" s="29"/>
      <c r="Q111" s="26"/>
      <c r="R111" s="26"/>
      <c r="S111" s="29"/>
      <c r="T111" s="29"/>
      <c r="U111" s="30"/>
    </row>
    <row r="112" spans="1:21" ht="13.5" thickBot="1" x14ac:dyDescent="0.25">
      <c r="A112" s="25"/>
      <c r="B112" s="92" t="s">
        <v>1024</v>
      </c>
      <c r="C112" s="93"/>
      <c r="D112" s="93"/>
      <c r="E112" s="93"/>
      <c r="F112" s="93"/>
      <c r="G112" s="93"/>
      <c r="H112" s="92" t="s">
        <v>1031</v>
      </c>
      <c r="I112" s="94"/>
      <c r="J112" s="26"/>
      <c r="K112" s="44" t="s">
        <v>21</v>
      </c>
      <c r="L112" s="45" t="s">
        <v>13</v>
      </c>
      <c r="M112" s="45" t="s">
        <v>18</v>
      </c>
      <c r="N112" s="46" t="s">
        <v>19</v>
      </c>
      <c r="O112" s="26"/>
      <c r="P112" s="26"/>
      <c r="Q112" s="29"/>
      <c r="R112" s="29"/>
      <c r="S112" s="29"/>
      <c r="T112" s="29"/>
      <c r="U112" s="30"/>
    </row>
    <row r="113" spans="1:21" ht="13.5" thickBot="1" x14ac:dyDescent="0.25">
      <c r="A113" s="25"/>
      <c r="B113" s="74">
        <v>73</v>
      </c>
      <c r="C113" s="41" t="str">
        <f>IF(B113="","",INDEX(Calculos!$CO$4:$CO$200,MATCH(VALUE(SUBSTITUTE(B113,"M","")),Calculos!$CN$4:$CN$200,0)))</f>
        <v>28-Jun · Los Ángeles</v>
      </c>
      <c r="D113" s="75" t="str">
        <f>IF(Calculos!AS5="","",Calculos!AS5)</f>
        <v/>
      </c>
      <c r="E113" s="53" t="s">
        <v>8</v>
      </c>
      <c r="F113" s="97" t="str">
        <f>IF(Calculos!AT5="","",Calculos!AT5)</f>
        <v/>
      </c>
      <c r="G113" s="98"/>
      <c r="H113" s="95"/>
      <c r="I113" s="96"/>
      <c r="J113" s="29"/>
      <c r="K113" s="47" t="str">
        <f>IF(Calculos!$W$5="","",Calculos!$W$5)</f>
        <v/>
      </c>
      <c r="L113" s="48" t="str">
        <f>IF(Calculos!$W$5="","",INDEX(Calculos!$O$5:$O$16,MATCH(Calculos!$W$5,Calculos!$M$5:$M$16,0)))</f>
        <v/>
      </c>
      <c r="M113" s="49" t="str">
        <f>IF(Calculos!$W$5="","",INDEX(Calculos!$P$5:$P$16,MATCH(Calculos!$W$5,Calculos!$M$5:$M$16,0)))</f>
        <v/>
      </c>
      <c r="N113" s="50" t="str">
        <f>IF(Calculos!$W$5="","",INDEX(Calculos!$R$5:$R$16,MATCH(Calculos!$W$5,Calculos!$M$5:$M$16,0)))</f>
        <v/>
      </c>
      <c r="O113" s="26"/>
      <c r="P113" s="26"/>
      <c r="Q113" s="29"/>
      <c r="R113" s="29"/>
      <c r="S113" s="29"/>
      <c r="T113" s="29"/>
      <c r="U113" s="30"/>
    </row>
    <row r="114" spans="1:21" ht="13.5" thickBot="1" x14ac:dyDescent="0.25">
      <c r="A114" s="25"/>
      <c r="B114" s="74">
        <v>74</v>
      </c>
      <c r="C114" s="41" t="str">
        <f>IF(B114="","",INDEX(Calculos!$CO$4:$CO$200,MATCH(VALUE(SUBSTITUTE(B114,"M","")),Calculos!$CN$4:$CN$200,0)))</f>
        <v>29-Jun · Boston</v>
      </c>
      <c r="D114" s="75" t="str">
        <f>IF(Calculos!AS6="","",Calculos!AS6)</f>
        <v/>
      </c>
      <c r="E114" s="53" t="s">
        <v>8</v>
      </c>
      <c r="F114" s="97" t="str">
        <f>IF(Calculos!AT6="","",Calculos!AT6)</f>
        <v/>
      </c>
      <c r="G114" s="98"/>
      <c r="H114" s="95"/>
      <c r="I114" s="96"/>
      <c r="J114" s="27"/>
      <c r="K114" s="47" t="str">
        <f>IF(Calculos!$W$6="","",Calculos!$W$6)</f>
        <v/>
      </c>
      <c r="L114" s="63" t="str">
        <f>IF(Calculos!$W$6="","",INDEX(Calculos!$O$5:$O$16,MATCH(Calculos!$W$6,Calculos!$M$5:$M$16,0)))</f>
        <v/>
      </c>
      <c r="M114" s="49" t="str">
        <f>IF(Calculos!$W$6="","",INDEX(Calculos!$P$5:$P$16,MATCH(Calculos!$W$6,Calculos!$M$5:$M$16,0)))</f>
        <v/>
      </c>
      <c r="N114" s="50" t="str">
        <f>IF(Calculos!$W$6="","",INDEX(Calculos!$R$5:$R$16,MATCH(Calculos!$W$6,Calculos!$M$5:$M$16,0)))</f>
        <v/>
      </c>
      <c r="O114" s="26"/>
      <c r="P114" s="26"/>
      <c r="Q114" s="26"/>
      <c r="R114" s="29"/>
      <c r="S114" s="29"/>
      <c r="T114" s="29"/>
      <c r="U114" s="30"/>
    </row>
    <row r="115" spans="1:21" ht="13.5" thickBot="1" x14ac:dyDescent="0.25">
      <c r="A115" s="25"/>
      <c r="B115" s="74">
        <v>75</v>
      </c>
      <c r="C115" s="41" t="str">
        <f>IF(B115="","",INDEX(Calculos!$CO$4:$CO$200,MATCH(VALUE(SUBSTITUTE(B115,"M","")),Calculos!$CN$4:$CN$200,0)))</f>
        <v>29-Jun · Monterrey</v>
      </c>
      <c r="D115" s="75" t="str">
        <f>IF(Calculos!AS7="","",Calculos!AS7)</f>
        <v/>
      </c>
      <c r="E115" s="53" t="s">
        <v>8</v>
      </c>
      <c r="F115" s="97" t="str">
        <f>IF(Calculos!AT7="","",Calculos!AT7)</f>
        <v/>
      </c>
      <c r="G115" s="98"/>
      <c r="H115" s="95"/>
      <c r="I115" s="96"/>
      <c r="J115" s="27"/>
      <c r="K115" s="47" t="str">
        <f>IF(Calculos!$W$7="","",Calculos!$W$7)</f>
        <v/>
      </c>
      <c r="L115" s="48" t="str">
        <f>IF(Calculos!$W$7="","",INDEX(Calculos!$O$5:$O$16,MATCH(Calculos!$W$7,Calculos!$M$5:$M$16,0)))</f>
        <v/>
      </c>
      <c r="M115" s="49" t="str">
        <f>IF(Calculos!$W$7="","",INDEX(Calculos!$P$5:$P$16,MATCH(Calculos!$W$7,Calculos!$M$5:$M$16,0)))</f>
        <v/>
      </c>
      <c r="N115" s="50" t="str">
        <f>IF(Calculos!$W$7="","",INDEX(Calculos!$R$5:$R$16,MATCH(Calculos!$W$7,Calculos!$M$5:$M$16,0)))</f>
        <v/>
      </c>
      <c r="O115" s="26"/>
      <c r="P115" s="26"/>
      <c r="Q115" s="26"/>
      <c r="R115" s="29"/>
      <c r="S115" s="29"/>
      <c r="T115" s="29"/>
      <c r="U115" s="30"/>
    </row>
    <row r="116" spans="1:21" ht="13.5" thickBot="1" x14ac:dyDescent="0.25">
      <c r="A116" s="25"/>
      <c r="B116" s="74">
        <v>76</v>
      </c>
      <c r="C116" s="41" t="str">
        <f>IF(B116="","",INDEX(Calculos!$CO$4:$CO$200,MATCH(VALUE(SUBSTITUTE(B116,"M","")),Calculos!$CN$4:$CN$200,0)))</f>
        <v>29-Jun · Houston</v>
      </c>
      <c r="D116" s="75" t="str">
        <f>IF(Calculos!AS8="","",Calculos!AS8)</f>
        <v/>
      </c>
      <c r="E116" s="53" t="s">
        <v>8</v>
      </c>
      <c r="F116" s="97" t="str">
        <f>IF(Calculos!AT8="","",Calculos!AT8)</f>
        <v/>
      </c>
      <c r="G116" s="98"/>
      <c r="H116" s="95"/>
      <c r="I116" s="96"/>
      <c r="J116" s="27"/>
      <c r="K116" s="47" t="str">
        <f>IF(Calculos!$W$8="","",Calculos!$W$8)</f>
        <v/>
      </c>
      <c r="L116" s="48" t="str">
        <f>IF(Calculos!$W$8="","",INDEX(Calculos!$O$5:$O$16,MATCH(Calculos!$W$8,Calculos!$M$5:$M$16,0)))</f>
        <v/>
      </c>
      <c r="M116" s="49" t="str">
        <f>IF(Calculos!$W$8="","",INDEX(Calculos!$P$5:$P$16,MATCH(Calculos!$W$8,Calculos!$M$5:$M$16,0)))</f>
        <v/>
      </c>
      <c r="N116" s="50" t="str">
        <f>IF(Calculos!$W$8="","",INDEX(Calculos!$R$5:$R$16,MATCH(Calculos!$W$8,Calculos!$M$5:$M$16,0)))</f>
        <v/>
      </c>
      <c r="O116" s="26"/>
      <c r="P116" s="26"/>
      <c r="Q116" s="26"/>
      <c r="R116" s="29"/>
      <c r="S116" s="29"/>
      <c r="T116" s="29"/>
      <c r="U116" s="30"/>
    </row>
    <row r="117" spans="1:21" ht="13.5" thickBot="1" x14ac:dyDescent="0.25">
      <c r="A117" s="25"/>
      <c r="B117" s="74">
        <v>77</v>
      </c>
      <c r="C117" s="41" t="str">
        <f>IF(B117="","",INDEX(Calculos!$CO$4:$CO$200,MATCH(VALUE(SUBSTITUTE(B117,"M","")),Calculos!$CN$4:$CN$200,0)))</f>
        <v>30-Jun · Nueva York</v>
      </c>
      <c r="D117" s="75" t="str">
        <f>IF(Calculos!AS9="","",Calculos!AS9)</f>
        <v/>
      </c>
      <c r="E117" s="53" t="s">
        <v>8</v>
      </c>
      <c r="F117" s="97" t="str">
        <f>IF(Calculos!AT9="","",Calculos!AT9)</f>
        <v/>
      </c>
      <c r="G117" s="98"/>
      <c r="H117" s="95"/>
      <c r="I117" s="96"/>
      <c r="J117" s="27"/>
      <c r="K117" s="47" t="str">
        <f>IF(Calculos!$W$9="","",Calculos!$W$9)</f>
        <v/>
      </c>
      <c r="L117" s="48" t="str">
        <f>IF(Calculos!$W$9="","",INDEX(Calculos!$O$5:$O$16,MATCH(Calculos!$W$9,Calculos!$M$5:$M$16,0)))</f>
        <v/>
      </c>
      <c r="M117" s="49" t="str">
        <f>IF(Calculos!$W$9="","",INDEX(Calculos!$P$5:$P$16,MATCH(Calculos!$W$9,Calculos!$M$5:$M$16,0)))</f>
        <v/>
      </c>
      <c r="N117" s="50" t="str">
        <f>IF(Calculos!$W$9="","",INDEX(Calculos!$R$5:$R$16,MATCH(Calculos!$W$9,Calculos!$M$5:$M$16,0)))</f>
        <v/>
      </c>
      <c r="O117" s="26"/>
      <c r="P117" s="26"/>
      <c r="Q117" s="26"/>
      <c r="R117" s="29"/>
      <c r="S117" s="29"/>
      <c r="T117" s="29"/>
      <c r="U117" s="30"/>
    </row>
    <row r="118" spans="1:21" ht="13.5" thickBot="1" x14ac:dyDescent="0.25">
      <c r="A118" s="25"/>
      <c r="B118" s="74">
        <v>78</v>
      </c>
      <c r="C118" s="41" t="str">
        <f>IF(B118="","",INDEX(Calculos!$CO$4:$CO$200,MATCH(VALUE(SUBSTITUTE(B118,"M","")),Calculos!$CN$4:$CN$200,0)))</f>
        <v>30-Jun · Dallas</v>
      </c>
      <c r="D118" s="75" t="str">
        <f>IF(Calculos!AS10="","",Calculos!AS10)</f>
        <v/>
      </c>
      <c r="E118" s="53" t="s">
        <v>8</v>
      </c>
      <c r="F118" s="97" t="str">
        <f>IF(Calculos!AT10="","",Calculos!AT10)</f>
        <v/>
      </c>
      <c r="G118" s="98"/>
      <c r="H118" s="95"/>
      <c r="I118" s="96"/>
      <c r="J118" s="27"/>
      <c r="K118" s="47" t="str">
        <f>IF(Calculos!$W$10="","",Calculos!$W$10)</f>
        <v/>
      </c>
      <c r="L118" s="48" t="str">
        <f>IF(Calculos!$W$10="","",INDEX(Calculos!$O$5:$O$16,MATCH(Calculos!$W$10,Calculos!$M$5:$M$16,0)))</f>
        <v/>
      </c>
      <c r="M118" s="49" t="str">
        <f>IF(Calculos!$W$10="","",INDEX(Calculos!$P$5:$P$16,MATCH(Calculos!$W$10,Calculos!$M$5:$M$16,0)))</f>
        <v/>
      </c>
      <c r="N118" s="50" t="str">
        <f>IF(Calculos!$W$10="","",INDEX(Calculos!$R$5:$R$16,MATCH(Calculos!$W$10,Calculos!$M$5:$M$16,0)))</f>
        <v/>
      </c>
      <c r="O118" s="26"/>
      <c r="P118" s="26"/>
      <c r="Q118" s="26"/>
      <c r="R118" s="29"/>
      <c r="S118" s="29"/>
      <c r="T118" s="29"/>
      <c r="U118" s="30"/>
    </row>
    <row r="119" spans="1:21" ht="13.5" thickBot="1" x14ac:dyDescent="0.25">
      <c r="A119" s="25"/>
      <c r="B119" s="74">
        <v>79</v>
      </c>
      <c r="C119" s="41" t="str">
        <f>IF(B119="","",INDEX(Calculos!$CO$4:$CO$200,MATCH(VALUE(SUBSTITUTE(B119,"M","")),Calculos!$CN$4:$CN$200,0)))</f>
        <v>30-Jun · Cd. México</v>
      </c>
      <c r="D119" s="75" t="str">
        <f>IF(Calculos!AS11="","",Calculos!AS11)</f>
        <v/>
      </c>
      <c r="E119" s="53" t="s">
        <v>8</v>
      </c>
      <c r="F119" s="97" t="str">
        <f>IF(Calculos!AT11="","",Calculos!AT11)</f>
        <v/>
      </c>
      <c r="G119" s="98"/>
      <c r="H119" s="95"/>
      <c r="I119" s="96"/>
      <c r="J119" s="27"/>
      <c r="K119" s="47" t="str">
        <f>IF(Calculos!$W$11="","",Calculos!$W$11)</f>
        <v/>
      </c>
      <c r="L119" s="48" t="str">
        <f>IF(Calculos!$W$11="","",INDEX(Calculos!$O$5:$O$16,MATCH(Calculos!$W$11,Calculos!$M$5:$M$16,0)))</f>
        <v/>
      </c>
      <c r="M119" s="49" t="str">
        <f>IF(Calculos!$W$11="","",INDEX(Calculos!$P$5:$P$16,MATCH(Calculos!$W$11,Calculos!$M$5:$M$16,0)))</f>
        <v/>
      </c>
      <c r="N119" s="50" t="str">
        <f>IF(Calculos!$W$11="","",INDEX(Calculos!$R$5:$R$16,MATCH(Calculos!$W$11,Calculos!$M$5:$M$16,0)))</f>
        <v/>
      </c>
      <c r="O119" s="26"/>
      <c r="P119" s="26"/>
      <c r="Q119" s="26"/>
      <c r="R119" s="29"/>
      <c r="S119" s="29"/>
      <c r="T119" s="29"/>
      <c r="U119" s="30"/>
    </row>
    <row r="120" spans="1:21" ht="13.5" thickBot="1" x14ac:dyDescent="0.25">
      <c r="A120" s="25"/>
      <c r="B120" s="74">
        <v>80</v>
      </c>
      <c r="C120" s="41" t="str">
        <f>IF(B120="","",INDEX(Calculos!$CO$4:$CO$200,MATCH(VALUE(SUBSTITUTE(B120,"M","")),Calculos!$CN$4:$CN$200,0)))</f>
        <v>1-Jul · Atlanta</v>
      </c>
      <c r="D120" s="75" t="str">
        <f>IF(Calculos!AS12="","",Calculos!AS12)</f>
        <v/>
      </c>
      <c r="E120" s="53" t="s">
        <v>8</v>
      </c>
      <c r="F120" s="97" t="str">
        <f>IF(Calculos!AT12="","",Calculos!AT12)</f>
        <v/>
      </c>
      <c r="G120" s="98"/>
      <c r="H120" s="95"/>
      <c r="I120" s="96"/>
      <c r="J120" s="27"/>
      <c r="K120" s="55" t="str">
        <f>IF(Calculos!$W$12="","",Calculos!$W$12)</f>
        <v/>
      </c>
      <c r="L120" s="56" t="str">
        <f>IF(Calculos!$W$12="","",INDEX(Calculos!$O$5:$O$16,MATCH(Calculos!$W$12,Calculos!$M$5:$M$16,0)))</f>
        <v/>
      </c>
      <c r="M120" s="57" t="str">
        <f>IF(Calculos!$W$12="","",INDEX(Calculos!$P$5:$P$16,MATCH(Calculos!$W$12,Calculos!$M$5:$M$16,0)))</f>
        <v/>
      </c>
      <c r="N120" s="58" t="str">
        <f>IF(Calculos!$W$12="","",INDEX(Calculos!$R$5:$R$16,MATCH(Calculos!$W$12,Calculos!$M$5:$M$16,0)))</f>
        <v/>
      </c>
      <c r="O120" s="26"/>
      <c r="P120" s="26"/>
      <c r="Q120" s="26"/>
      <c r="R120" s="29"/>
      <c r="S120" s="29"/>
      <c r="T120" s="29"/>
      <c r="U120" s="30"/>
    </row>
    <row r="121" spans="1:21" ht="13.5" thickBot="1" x14ac:dyDescent="0.25">
      <c r="A121" s="25"/>
      <c r="B121" s="74">
        <v>81</v>
      </c>
      <c r="C121" s="41" t="str">
        <f>IF(B121="","",INDEX(Calculos!$CO$4:$CO$200,MATCH(VALUE(SUBSTITUTE(B121,"M","")),Calculos!$CN$4:$CN$200,0)))</f>
        <v>1-Jul · San Francisco</v>
      </c>
      <c r="D121" s="75" t="str">
        <f>IF(Calculos!AS13="","",Calculos!AS13)</f>
        <v/>
      </c>
      <c r="E121" s="53" t="s">
        <v>8</v>
      </c>
      <c r="F121" s="97" t="str">
        <f>IF(Calculos!AT13="","",Calculos!AT13)</f>
        <v/>
      </c>
      <c r="G121" s="98"/>
      <c r="H121" s="95"/>
      <c r="I121" s="96"/>
      <c r="J121" s="26"/>
      <c r="K121" s="39"/>
      <c r="L121" s="29"/>
      <c r="M121" s="29"/>
      <c r="N121" s="29"/>
      <c r="O121" s="29"/>
      <c r="P121" s="26"/>
      <c r="Q121" s="26"/>
      <c r="R121" s="26"/>
      <c r="S121" s="26"/>
      <c r="T121" s="29"/>
      <c r="U121" s="30"/>
    </row>
    <row r="122" spans="1:21" ht="13.5" thickBot="1" x14ac:dyDescent="0.25">
      <c r="A122" s="25"/>
      <c r="B122" s="74">
        <v>82</v>
      </c>
      <c r="C122" s="41" t="str">
        <f>IF(B122="","",INDEX(Calculos!$CO$4:$CO$200,MATCH(VALUE(SUBSTITUTE(B122,"M","")),Calculos!$CN$4:$CN$200,0)))</f>
        <v>1-Jul · Seattle</v>
      </c>
      <c r="D122" s="75" t="str">
        <f>IF(Calculos!AS14="","",Calculos!AS14)</f>
        <v/>
      </c>
      <c r="E122" s="53" t="s">
        <v>8</v>
      </c>
      <c r="F122" s="97" t="str">
        <f>IF(Calculos!AT14="","",Calculos!AT14)</f>
        <v/>
      </c>
      <c r="G122" s="98"/>
      <c r="H122" s="95"/>
      <c r="I122" s="96"/>
      <c r="J122" s="26"/>
      <c r="K122" s="28"/>
      <c r="L122" s="29"/>
      <c r="M122" s="136"/>
      <c r="N122" s="136"/>
      <c r="O122" s="136"/>
      <c r="P122" s="29"/>
      <c r="Q122" s="29"/>
      <c r="R122" s="29"/>
      <c r="S122" s="29"/>
      <c r="T122" s="29"/>
      <c r="U122" s="30"/>
    </row>
    <row r="123" spans="1:21" ht="13.5" thickBot="1" x14ac:dyDescent="0.25">
      <c r="A123" s="25"/>
      <c r="B123" s="74">
        <v>83</v>
      </c>
      <c r="C123" s="41" t="str">
        <f>IF(B123="","",INDEX(Calculos!$CO$4:$CO$200,MATCH(VALUE(SUBSTITUTE(B123,"M","")),Calculos!$CN$4:$CN$200,0)))</f>
        <v>2-Jul · Toronto</v>
      </c>
      <c r="D123" s="75" t="str">
        <f>IF(Calculos!AS15="","",Calculos!AS15)</f>
        <v/>
      </c>
      <c r="E123" s="53" t="s">
        <v>8</v>
      </c>
      <c r="F123" s="97" t="str">
        <f>IF(Calculos!AT15="","",Calculos!AT15)</f>
        <v/>
      </c>
      <c r="G123" s="98"/>
      <c r="H123" s="95"/>
      <c r="I123" s="96"/>
      <c r="J123" s="26"/>
      <c r="K123" s="28"/>
      <c r="L123" s="29"/>
      <c r="M123" s="136"/>
      <c r="N123" s="136"/>
      <c r="O123" s="136"/>
      <c r="P123" s="29"/>
      <c r="Q123" s="29"/>
      <c r="R123" s="29"/>
      <c r="S123" s="29"/>
      <c r="T123" s="29"/>
      <c r="U123" s="30"/>
    </row>
    <row r="124" spans="1:21" ht="13.5" thickBot="1" x14ac:dyDescent="0.25">
      <c r="A124" s="25"/>
      <c r="B124" s="74">
        <v>84</v>
      </c>
      <c r="C124" s="41" t="str">
        <f>IF(B124="","",INDEX(Calculos!$CO$4:$CO$200,MATCH(VALUE(SUBSTITUTE(B124,"M","")),Calculos!$CN$4:$CN$200,0)))</f>
        <v>2-Jul · Los Ángeles</v>
      </c>
      <c r="D124" s="75" t="str">
        <f>IF(Calculos!AS16="","",Calculos!AS16)</f>
        <v/>
      </c>
      <c r="E124" s="53" t="s">
        <v>8</v>
      </c>
      <c r="F124" s="97" t="str">
        <f>IF(Calculos!AT16="","",Calculos!AT16)</f>
        <v/>
      </c>
      <c r="G124" s="98"/>
      <c r="H124" s="95"/>
      <c r="I124" s="96"/>
      <c r="J124" s="26"/>
      <c r="K124" s="28"/>
      <c r="L124" s="29"/>
      <c r="M124" s="136"/>
      <c r="N124" s="136"/>
      <c r="O124" s="136"/>
      <c r="P124" s="29"/>
      <c r="Q124" s="29"/>
      <c r="R124" s="29"/>
      <c r="S124" s="29"/>
      <c r="T124" s="29"/>
      <c r="U124" s="30"/>
    </row>
    <row r="125" spans="1:21" ht="13.5" thickBot="1" x14ac:dyDescent="0.25">
      <c r="A125" s="25"/>
      <c r="B125" s="74">
        <v>85</v>
      </c>
      <c r="C125" s="41" t="str">
        <f>IF(B125="","",INDEX(Calculos!$CO$4:$CO$200,MATCH(VALUE(SUBSTITUTE(B125,"M","")),Calculos!$CN$4:$CN$200,0)))</f>
        <v>2-Jul · Vancouver</v>
      </c>
      <c r="D125" s="75" t="str">
        <f>IF(Calculos!AS17="","",Calculos!AS17)</f>
        <v/>
      </c>
      <c r="E125" s="53" t="s">
        <v>8</v>
      </c>
      <c r="F125" s="97" t="str">
        <f>IF(Calculos!AT17="","",Calculos!AT17)</f>
        <v/>
      </c>
      <c r="G125" s="98"/>
      <c r="H125" s="95"/>
      <c r="I125" s="96"/>
      <c r="J125" s="26"/>
      <c r="K125" s="28"/>
      <c r="L125" s="29"/>
      <c r="M125" s="29"/>
      <c r="N125" s="29"/>
      <c r="O125" s="29"/>
      <c r="P125" s="29"/>
      <c r="Q125" s="29"/>
      <c r="R125" s="29"/>
      <c r="S125" s="29"/>
      <c r="T125" s="29"/>
      <c r="U125" s="30"/>
    </row>
    <row r="126" spans="1:21" ht="13.5" thickBot="1" x14ac:dyDescent="0.25">
      <c r="A126" s="25"/>
      <c r="B126" s="74">
        <v>86</v>
      </c>
      <c r="C126" s="41" t="str">
        <f>IF(B126="","",INDEX(Calculos!$CO$4:$CO$200,MATCH(VALUE(SUBSTITUTE(B126,"M","")),Calculos!$CN$4:$CN$200,0)))</f>
        <v>3-Jul · Miami</v>
      </c>
      <c r="D126" s="75" t="str">
        <f>IF(Calculos!AS18="","",Calculos!AS18)</f>
        <v/>
      </c>
      <c r="E126" s="53" t="s">
        <v>8</v>
      </c>
      <c r="F126" s="97" t="str">
        <f>IF(Calculos!AT18="","",Calculos!AT18)</f>
        <v/>
      </c>
      <c r="G126" s="98"/>
      <c r="H126" s="95"/>
      <c r="I126" s="96"/>
      <c r="J126" s="26"/>
      <c r="K126" s="28"/>
      <c r="L126" s="29"/>
      <c r="M126" s="29"/>
      <c r="N126" s="29"/>
      <c r="O126" s="29"/>
      <c r="P126" s="29"/>
      <c r="Q126" s="29"/>
      <c r="R126" s="29"/>
      <c r="S126" s="29"/>
      <c r="T126" s="29"/>
      <c r="U126" s="30"/>
    </row>
    <row r="127" spans="1:21" ht="13.5" thickBot="1" x14ac:dyDescent="0.25">
      <c r="A127" s="25"/>
      <c r="B127" s="74">
        <v>87</v>
      </c>
      <c r="C127" s="41" t="str">
        <f>IF(B127="","",INDEX(Calculos!$CO$4:$CO$200,MATCH(VALUE(SUBSTITUTE(B127,"M","")),Calculos!$CN$4:$CN$200,0)))</f>
        <v>3-Jul · Kansas City</v>
      </c>
      <c r="D127" s="75" t="str">
        <f>IF(Calculos!AS19="","",Calculos!AS19)</f>
        <v/>
      </c>
      <c r="E127" s="53" t="s">
        <v>8</v>
      </c>
      <c r="F127" s="97" t="str">
        <f>IF(Calculos!AT19="","",Calculos!AT19)</f>
        <v/>
      </c>
      <c r="G127" s="98"/>
      <c r="H127" s="95"/>
      <c r="I127" s="96"/>
      <c r="J127" s="26"/>
      <c r="K127" s="28"/>
      <c r="L127" s="29"/>
      <c r="M127" s="29"/>
      <c r="N127" s="29"/>
      <c r="O127" s="29"/>
      <c r="P127" s="29"/>
      <c r="Q127" s="29"/>
      <c r="R127" s="29"/>
      <c r="S127" s="29"/>
      <c r="T127" s="29"/>
      <c r="U127" s="30"/>
    </row>
    <row r="128" spans="1:21" ht="13.5" thickBot="1" x14ac:dyDescent="0.25">
      <c r="A128" s="25"/>
      <c r="B128" s="74">
        <v>88</v>
      </c>
      <c r="C128" s="41" t="str">
        <f>IF(B128="","",INDEX(Calculos!$CO$4:$CO$200,MATCH(VALUE(SUBSTITUTE(B128,"M","")),Calculos!$CN$4:$CN$200,0)))</f>
        <v>3-Jul · Dallas</v>
      </c>
      <c r="D128" s="75" t="str">
        <f>IF(Calculos!AS20="","",Calculos!AS20)</f>
        <v/>
      </c>
      <c r="E128" s="53" t="s">
        <v>8</v>
      </c>
      <c r="F128" s="97" t="str">
        <f>IF(Calculos!AT20="","",Calculos!AT20)</f>
        <v/>
      </c>
      <c r="G128" s="98"/>
      <c r="H128" s="95"/>
      <c r="I128" s="96"/>
      <c r="J128" s="26"/>
      <c r="K128" s="28"/>
      <c r="L128" s="29"/>
      <c r="M128" s="29"/>
      <c r="N128" s="29"/>
      <c r="O128" s="29"/>
      <c r="P128" s="29"/>
      <c r="Q128" s="29"/>
      <c r="R128" s="29"/>
      <c r="S128" s="29"/>
      <c r="T128" s="29"/>
      <c r="U128" s="30"/>
    </row>
    <row r="129" spans="1:21" ht="13.5" thickBot="1" x14ac:dyDescent="0.25">
      <c r="A129" s="25"/>
      <c r="B129" s="26"/>
      <c r="C129" s="76"/>
      <c r="D129" s="27"/>
      <c r="E129" s="27"/>
      <c r="F129" s="26"/>
      <c r="G129" s="27"/>
      <c r="H129" s="27"/>
      <c r="I129" s="27"/>
      <c r="J129" s="26"/>
      <c r="K129" s="28"/>
      <c r="L129" s="29"/>
      <c r="M129" s="29"/>
      <c r="N129" s="29"/>
      <c r="O129" s="29"/>
      <c r="P129" s="29"/>
      <c r="Q129" s="29"/>
      <c r="R129" s="29"/>
      <c r="S129" s="29"/>
      <c r="T129" s="29"/>
      <c r="U129" s="30"/>
    </row>
    <row r="130" spans="1:21" ht="13.5" thickBot="1" x14ac:dyDescent="0.25">
      <c r="A130" s="25"/>
      <c r="B130" s="92" t="s">
        <v>1025</v>
      </c>
      <c r="C130" s="93"/>
      <c r="D130" s="93"/>
      <c r="E130" s="93"/>
      <c r="F130" s="93"/>
      <c r="G130" s="93"/>
      <c r="H130" s="92" t="s">
        <v>1031</v>
      </c>
      <c r="I130" s="94"/>
      <c r="J130" s="26"/>
      <c r="K130" s="28"/>
      <c r="L130" s="29"/>
      <c r="M130" s="29"/>
      <c r="N130" s="29"/>
      <c r="O130" s="29"/>
      <c r="P130" s="29"/>
      <c r="Q130" s="29"/>
      <c r="R130" s="29"/>
      <c r="S130" s="29"/>
      <c r="T130" s="29"/>
      <c r="U130" s="30"/>
    </row>
    <row r="131" spans="1:21" ht="15.75" customHeight="1" thickBot="1" x14ac:dyDescent="0.25">
      <c r="A131" s="25"/>
      <c r="B131" s="74">
        <v>89</v>
      </c>
      <c r="C131" s="41" t="str">
        <f>IF(B131="","",INDEX(Calculos!$CO$4:$CO$200,MATCH(VALUE(SUBSTITUTE(B131,"M","")),Calculos!$CN$4:$CN$200,0)))</f>
        <v>4-Jul · Filadelfia</v>
      </c>
      <c r="D131" s="75" t="str">
        <f>IF(Calculos!AX5="","",Calculos!AX5)</f>
        <v/>
      </c>
      <c r="E131" s="53" t="s">
        <v>8</v>
      </c>
      <c r="F131" s="103" t="str">
        <f>IF(Calculos!AY5="","",Calculos!AY5)</f>
        <v/>
      </c>
      <c r="G131" s="104"/>
      <c r="H131" s="95"/>
      <c r="I131" s="96"/>
      <c r="J131" s="77"/>
      <c r="K131" s="28"/>
      <c r="L131" s="29"/>
      <c r="M131" s="29"/>
      <c r="N131" s="29"/>
      <c r="O131" s="29"/>
      <c r="P131" s="29"/>
      <c r="Q131" s="29"/>
      <c r="R131" s="29"/>
      <c r="S131" s="29"/>
      <c r="T131" s="29"/>
      <c r="U131" s="30"/>
    </row>
    <row r="132" spans="1:21" ht="13.5" thickBot="1" x14ac:dyDescent="0.25">
      <c r="A132" s="25"/>
      <c r="B132" s="74">
        <v>90</v>
      </c>
      <c r="C132" s="41" t="str">
        <f>IF(B132="","",INDEX(Calculos!$CO$4:$CO$200,MATCH(VALUE(SUBSTITUTE(B132,"M","")),Calculos!$CN$4:$CN$200,0)))</f>
        <v>4-Jul · Houston</v>
      </c>
      <c r="D132" s="75" t="str">
        <f>IF(Calculos!AX6="","",Calculos!AX6)</f>
        <v/>
      </c>
      <c r="E132" s="53" t="s">
        <v>8</v>
      </c>
      <c r="F132" s="97" t="str">
        <f>IF(Calculos!AY6="","",Calculos!AY6)</f>
        <v/>
      </c>
      <c r="G132" s="98"/>
      <c r="H132" s="95"/>
      <c r="I132" s="96"/>
      <c r="J132" s="29"/>
      <c r="K132" s="28"/>
      <c r="L132" s="29"/>
      <c r="M132" s="29"/>
      <c r="N132" s="29"/>
      <c r="O132" s="29"/>
      <c r="P132" s="29"/>
      <c r="Q132" s="29"/>
      <c r="R132" s="29"/>
      <c r="S132" s="29"/>
      <c r="T132" s="29"/>
      <c r="U132" s="30"/>
    </row>
    <row r="133" spans="1:21" ht="13.5" thickBot="1" x14ac:dyDescent="0.25">
      <c r="A133" s="25"/>
      <c r="B133" s="74">
        <v>91</v>
      </c>
      <c r="C133" s="41" t="str">
        <f>IF(B133="","",INDEX(Calculos!$CO$4:$CO$200,MATCH(VALUE(SUBSTITUTE(B133,"M","")),Calculos!$CN$4:$CN$200,0)))</f>
        <v>5-Jul · Nueva York</v>
      </c>
      <c r="D133" s="75" t="str">
        <f>IF(Calculos!AX7="","",Calculos!AX7)</f>
        <v/>
      </c>
      <c r="E133" s="53" t="s">
        <v>8</v>
      </c>
      <c r="F133" s="97" t="str">
        <f>IF(Calculos!AY7="","",Calculos!AY7)</f>
        <v/>
      </c>
      <c r="G133" s="98"/>
      <c r="H133" s="95"/>
      <c r="I133" s="96"/>
      <c r="J133" s="29"/>
      <c r="K133" s="28"/>
      <c r="L133" s="29"/>
      <c r="M133" s="29"/>
      <c r="N133" s="29"/>
      <c r="O133" s="29"/>
      <c r="P133" s="29"/>
      <c r="Q133" s="29"/>
      <c r="R133" s="29"/>
      <c r="S133" s="29"/>
      <c r="T133" s="29"/>
      <c r="U133" s="30"/>
    </row>
    <row r="134" spans="1:21" ht="13.5" thickBot="1" x14ac:dyDescent="0.25">
      <c r="A134" s="25"/>
      <c r="B134" s="74">
        <v>92</v>
      </c>
      <c r="C134" s="41" t="str">
        <f>IF(B134="","",INDEX(Calculos!$CO$4:$CO$200,MATCH(VALUE(SUBSTITUTE(B134,"M","")),Calculos!$CN$4:$CN$200,0)))</f>
        <v>5-Jul · Cd. México</v>
      </c>
      <c r="D134" s="75" t="str">
        <f>IF(Calculos!AX8="","",Calculos!AX8)</f>
        <v/>
      </c>
      <c r="E134" s="53" t="s">
        <v>8</v>
      </c>
      <c r="F134" s="97" t="str">
        <f>IF(Calculos!AY8="","",Calculos!AY8)</f>
        <v/>
      </c>
      <c r="G134" s="98"/>
      <c r="H134" s="95"/>
      <c r="I134" s="96"/>
      <c r="J134" s="29"/>
      <c r="K134" s="39"/>
      <c r="L134" s="29"/>
      <c r="M134" s="29"/>
      <c r="N134" s="29"/>
      <c r="O134" s="29"/>
      <c r="P134" s="29"/>
      <c r="Q134" s="29"/>
      <c r="R134" s="29"/>
      <c r="S134" s="29"/>
      <c r="T134" s="29"/>
      <c r="U134" s="30"/>
    </row>
    <row r="135" spans="1:21" ht="13.5" thickBot="1" x14ac:dyDescent="0.25">
      <c r="A135" s="25"/>
      <c r="B135" s="74">
        <v>93</v>
      </c>
      <c r="C135" s="41" t="str">
        <f>IF(B135="","",INDEX(Calculos!$CO$4:$CO$200,MATCH(VALUE(SUBSTITUTE(B135,"M","")),Calculos!$CN$4:$CN$200,0)))</f>
        <v>6-Jul · Dallas</v>
      </c>
      <c r="D135" s="75" t="str">
        <f>IF(Calculos!AX9="","",Calculos!AX9)</f>
        <v/>
      </c>
      <c r="E135" s="53" t="s">
        <v>8</v>
      </c>
      <c r="F135" s="97" t="str">
        <f>IF(Calculos!AY9="","",Calculos!AY9)</f>
        <v/>
      </c>
      <c r="G135" s="98"/>
      <c r="H135" s="95"/>
      <c r="I135" s="96"/>
      <c r="J135" s="29"/>
      <c r="K135" s="39"/>
      <c r="L135" s="29"/>
      <c r="M135" s="29"/>
      <c r="N135" s="29"/>
      <c r="O135" s="29"/>
      <c r="P135" s="29"/>
      <c r="Q135" s="29"/>
      <c r="R135" s="29"/>
      <c r="S135" s="29"/>
      <c r="T135" s="29"/>
      <c r="U135" s="30"/>
    </row>
    <row r="136" spans="1:21" ht="13.5" thickBot="1" x14ac:dyDescent="0.25">
      <c r="A136" s="25"/>
      <c r="B136" s="74">
        <v>94</v>
      </c>
      <c r="C136" s="41" t="str">
        <f>IF(B136="","",INDEX(Calculos!$CO$4:$CO$200,MATCH(VALUE(SUBSTITUTE(B136,"M","")),Calculos!$CN$4:$CN$200,0)))</f>
        <v>6-Jul · Seattle</v>
      </c>
      <c r="D136" s="75" t="str">
        <f>IF(Calculos!AX10="","",Calculos!AX10)</f>
        <v/>
      </c>
      <c r="E136" s="53" t="s">
        <v>8</v>
      </c>
      <c r="F136" s="97" t="str">
        <f>IF(Calculos!AY10="","",Calculos!AY10)</f>
        <v/>
      </c>
      <c r="G136" s="98"/>
      <c r="H136" s="95"/>
      <c r="I136" s="96"/>
      <c r="J136" s="26"/>
      <c r="K136" s="39"/>
      <c r="L136" s="29"/>
      <c r="M136" s="29"/>
      <c r="N136" s="29"/>
      <c r="O136" s="29"/>
      <c r="P136" s="29"/>
      <c r="Q136" s="29"/>
      <c r="R136" s="29"/>
      <c r="S136" s="29"/>
      <c r="T136" s="29"/>
      <c r="U136" s="30"/>
    </row>
    <row r="137" spans="1:21" ht="13.5" thickBot="1" x14ac:dyDescent="0.25">
      <c r="A137" s="25"/>
      <c r="B137" s="74">
        <v>95</v>
      </c>
      <c r="C137" s="41" t="str">
        <f>IF(B137="","",INDEX(Calculos!$CO$4:$CO$200,MATCH(VALUE(SUBSTITUTE(B137,"M","")),Calculos!$CN$4:$CN$200,0)))</f>
        <v>7-Jul · Atlanta</v>
      </c>
      <c r="D137" s="75" t="str">
        <f>IF(Calculos!AX11="","",Calculos!AX11)</f>
        <v/>
      </c>
      <c r="E137" s="53" t="s">
        <v>8</v>
      </c>
      <c r="F137" s="97" t="str">
        <f>IF(Calculos!AY11="","",Calculos!AY11)</f>
        <v/>
      </c>
      <c r="G137" s="98"/>
      <c r="H137" s="95"/>
      <c r="I137" s="96"/>
      <c r="J137" s="26"/>
      <c r="K137" s="39"/>
      <c r="L137" s="29"/>
      <c r="M137" s="29"/>
      <c r="N137" s="29"/>
      <c r="O137" s="29"/>
      <c r="P137" s="29"/>
      <c r="Q137" s="29"/>
      <c r="R137" s="29"/>
      <c r="S137" s="29"/>
      <c r="T137" s="29"/>
      <c r="U137" s="30"/>
    </row>
    <row r="138" spans="1:21" ht="13.5" thickBot="1" x14ac:dyDescent="0.25">
      <c r="A138" s="25"/>
      <c r="B138" s="74">
        <v>96</v>
      </c>
      <c r="C138" s="41" t="str">
        <f>IF(B138="","",INDEX(Calculos!$CO$4:$CO$200,MATCH(VALUE(SUBSTITUTE(B138,"M","")),Calculos!$CN$4:$CN$200,0)))</f>
        <v>7-Jul · Vancouver</v>
      </c>
      <c r="D138" s="75" t="str">
        <f>IF(Calculos!AX12="","",Calculos!AX12)</f>
        <v/>
      </c>
      <c r="E138" s="53" t="s">
        <v>8</v>
      </c>
      <c r="F138" s="97" t="str">
        <f>IF(Calculos!AY12="","",Calculos!AY12)</f>
        <v/>
      </c>
      <c r="G138" s="98"/>
      <c r="H138" s="95"/>
      <c r="I138" s="96"/>
      <c r="J138" s="26"/>
      <c r="K138" s="39"/>
      <c r="L138" s="29"/>
      <c r="M138" s="29"/>
      <c r="N138" s="29"/>
      <c r="O138" s="29"/>
      <c r="P138" s="29"/>
      <c r="Q138" s="29"/>
      <c r="R138" s="29"/>
      <c r="S138" s="29"/>
      <c r="T138" s="29"/>
      <c r="U138" s="30"/>
    </row>
    <row r="139" spans="1:21" ht="13.5" thickBot="1" x14ac:dyDescent="0.25">
      <c r="A139" s="25"/>
      <c r="B139" s="26"/>
      <c r="C139" s="76"/>
      <c r="D139" s="27"/>
      <c r="E139" s="27"/>
      <c r="F139" s="26"/>
      <c r="G139" s="27"/>
      <c r="H139" s="27"/>
      <c r="I139" s="27"/>
      <c r="J139" s="26"/>
      <c r="K139" s="39"/>
      <c r="L139" s="29"/>
      <c r="M139" s="29"/>
      <c r="N139" s="29"/>
      <c r="O139" s="29"/>
      <c r="P139" s="29"/>
      <c r="Q139" s="29"/>
      <c r="R139" s="29"/>
      <c r="S139" s="29"/>
      <c r="T139" s="29"/>
      <c r="U139" s="30"/>
    </row>
    <row r="140" spans="1:21" ht="13.5" thickBot="1" x14ac:dyDescent="0.25">
      <c r="A140" s="25"/>
      <c r="B140" s="92" t="s">
        <v>1026</v>
      </c>
      <c r="C140" s="93"/>
      <c r="D140" s="93"/>
      <c r="E140" s="93"/>
      <c r="F140" s="93"/>
      <c r="G140" s="93"/>
      <c r="H140" s="92" t="s">
        <v>1031</v>
      </c>
      <c r="I140" s="94"/>
      <c r="J140" s="26"/>
      <c r="K140" s="39"/>
      <c r="L140" s="29"/>
      <c r="M140" s="29"/>
      <c r="N140" s="29"/>
      <c r="O140" s="29"/>
      <c r="P140" s="29"/>
      <c r="Q140" s="29"/>
      <c r="R140" s="29"/>
      <c r="S140" s="29"/>
      <c r="T140" s="29"/>
      <c r="U140" s="30"/>
    </row>
    <row r="141" spans="1:21" ht="13.5" thickBot="1" x14ac:dyDescent="0.25">
      <c r="A141" s="25"/>
      <c r="B141" s="74">
        <v>97</v>
      </c>
      <c r="C141" s="41" t="str">
        <f>IF(B141="","",INDEX(Calculos!$CO$4:$CO$200,MATCH(VALUE(SUBSTITUTE(B141,"M","")),Calculos!$CN$4:$CN$200,0)))</f>
        <v>9-Jul · Boston</v>
      </c>
      <c r="D141" s="75" t="str">
        <f>IF(Calculos!BC5="","",Calculos!BC5)</f>
        <v/>
      </c>
      <c r="E141" s="53" t="s">
        <v>8</v>
      </c>
      <c r="F141" s="105" t="str">
        <f>IF(Calculos!BD5="","",Calculos!BD5)</f>
        <v/>
      </c>
      <c r="G141" s="106"/>
      <c r="H141" s="95"/>
      <c r="I141" s="96"/>
      <c r="J141" s="77"/>
      <c r="K141" s="39"/>
      <c r="L141" s="29"/>
      <c r="M141" s="29"/>
      <c r="N141" s="29"/>
      <c r="O141" s="29"/>
      <c r="P141" s="29"/>
      <c r="Q141" s="29"/>
      <c r="R141" s="29"/>
      <c r="S141" s="29"/>
      <c r="T141" s="29"/>
      <c r="U141" s="30"/>
    </row>
    <row r="142" spans="1:21" ht="16.5" thickBot="1" x14ac:dyDescent="0.25">
      <c r="A142" s="25"/>
      <c r="B142" s="74">
        <v>98</v>
      </c>
      <c r="C142" s="41" t="str">
        <f>IF(B142="","",INDEX(Calculos!$CO$4:$CO$200,MATCH(VALUE(SUBSTITUTE(B142,"M","")),Calculos!$CN$4:$CN$200,0)))</f>
        <v>10-Jul · Los Ángeles</v>
      </c>
      <c r="D142" s="75" t="str">
        <f>IF(Calculos!BC6="","",Calculos!BC6)</f>
        <v/>
      </c>
      <c r="E142" s="53" t="s">
        <v>8</v>
      </c>
      <c r="F142" s="97" t="str">
        <f>IF(Calculos!BD6="","",Calculos!BD6)</f>
        <v/>
      </c>
      <c r="G142" s="98"/>
      <c r="H142" s="95"/>
      <c r="I142" s="96"/>
      <c r="J142" s="29"/>
      <c r="K142" s="102" t="s">
        <v>852</v>
      </c>
      <c r="L142" s="102"/>
      <c r="M142" s="29"/>
      <c r="N142" s="29"/>
      <c r="O142" s="29"/>
      <c r="P142" s="29"/>
      <c r="Q142" s="29"/>
      <c r="R142" s="29"/>
      <c r="S142" s="29"/>
      <c r="T142" s="29"/>
      <c r="U142" s="30"/>
    </row>
    <row r="143" spans="1:21" ht="13.5" thickBot="1" x14ac:dyDescent="0.25">
      <c r="A143" s="25"/>
      <c r="B143" s="74">
        <v>99</v>
      </c>
      <c r="C143" s="41" t="str">
        <f>IF(B143="","",INDEX(Calculos!$CO$4:$CO$200,MATCH(VALUE(SUBSTITUTE(B143,"M","")),Calculos!$CN$4:$CN$200,0)))</f>
        <v>11-Jul · Miami</v>
      </c>
      <c r="D143" s="75" t="str">
        <f>IF(Calculos!BC7="","",Calculos!BC7)</f>
        <v/>
      </c>
      <c r="E143" s="53" t="s">
        <v>8</v>
      </c>
      <c r="F143" s="97" t="str">
        <f>IF(Calculos!BD7="","",Calculos!BD7)</f>
        <v/>
      </c>
      <c r="G143" s="98"/>
      <c r="H143" s="95"/>
      <c r="I143" s="96"/>
      <c r="J143" s="29"/>
      <c r="K143" s="39"/>
      <c r="L143" s="29"/>
      <c r="M143" s="29"/>
      <c r="N143" s="29"/>
      <c r="O143" s="29"/>
      <c r="P143" s="29"/>
      <c r="Q143" s="29"/>
      <c r="R143" s="29"/>
      <c r="S143" s="29"/>
      <c r="T143" s="29"/>
      <c r="U143" s="30"/>
    </row>
    <row r="144" spans="1:21" ht="13.5" thickBot="1" x14ac:dyDescent="0.25">
      <c r="A144" s="25"/>
      <c r="B144" s="74">
        <v>100</v>
      </c>
      <c r="C144" s="41" t="str">
        <f>IF(B144="","",INDEX(Calculos!$CO$4:$CO$200,MATCH(VALUE(SUBSTITUTE(B144,"M","")),Calculos!$CN$4:$CN$200,0)))</f>
        <v>11-Jul · Kansas City</v>
      </c>
      <c r="D144" s="75" t="str">
        <f>IF(Calculos!BC8="","",Calculos!BC8)</f>
        <v/>
      </c>
      <c r="E144" s="53" t="s">
        <v>8</v>
      </c>
      <c r="F144" s="97" t="str">
        <f>IF(Calculos!BD8="","",Calculos!BD8)</f>
        <v/>
      </c>
      <c r="G144" s="98"/>
      <c r="H144" s="95"/>
      <c r="I144" s="96"/>
      <c r="J144" s="26"/>
      <c r="K144" s="39"/>
      <c r="L144" s="29"/>
      <c r="M144" s="29"/>
      <c r="N144" s="29"/>
      <c r="O144" s="29"/>
      <c r="P144" s="29"/>
      <c r="Q144" s="29"/>
      <c r="R144" s="29"/>
      <c r="S144" s="29"/>
      <c r="T144" s="29"/>
      <c r="U144" s="30"/>
    </row>
    <row r="145" spans="1:21" ht="15.75" thickBot="1" x14ac:dyDescent="0.3">
      <c r="A145" s="25"/>
      <c r="B145" s="26"/>
      <c r="C145" s="76"/>
      <c r="D145" s="27"/>
      <c r="E145" s="27"/>
      <c r="F145" s="26"/>
      <c r="G145" s="27"/>
      <c r="H145" s="27"/>
      <c r="I145" s="27"/>
      <c r="J145" s="26"/>
      <c r="K145" s="78" t="s">
        <v>850</v>
      </c>
      <c r="L145" s="29"/>
      <c r="M145" s="29"/>
      <c r="N145" s="29"/>
      <c r="O145" s="29"/>
      <c r="P145" s="29"/>
      <c r="Q145" s="29"/>
      <c r="R145" s="29"/>
      <c r="S145" s="29"/>
      <c r="T145" s="29"/>
      <c r="U145" s="30"/>
    </row>
    <row r="146" spans="1:21" ht="13.5" thickBot="1" x14ac:dyDescent="0.25">
      <c r="A146" s="25"/>
      <c r="B146" s="92" t="s">
        <v>1027</v>
      </c>
      <c r="C146" s="93"/>
      <c r="D146" s="93"/>
      <c r="E146" s="93"/>
      <c r="F146" s="93"/>
      <c r="G146" s="93"/>
      <c r="H146" s="92" t="s">
        <v>1031</v>
      </c>
      <c r="I146" s="94"/>
      <c r="J146" s="26"/>
      <c r="K146" s="39"/>
      <c r="L146" s="29"/>
      <c r="M146" s="29"/>
      <c r="N146" s="29"/>
      <c r="O146" s="29"/>
      <c r="P146" s="29"/>
      <c r="Q146" s="29"/>
      <c r="R146" s="29"/>
      <c r="S146" s="29"/>
      <c r="T146" s="29"/>
      <c r="U146" s="30"/>
    </row>
    <row r="147" spans="1:21" ht="13.5" thickBot="1" x14ac:dyDescent="0.25">
      <c r="A147" s="25"/>
      <c r="B147" s="74">
        <v>101</v>
      </c>
      <c r="C147" s="41" t="str">
        <f>IF(B147="","",INDEX(Calculos!$CO$4:$CO$200,MATCH(VALUE(SUBSTITUTE(B147,"M","")),Calculos!$CN$4:$CN$200,0)))</f>
        <v>14-Jul · Dallas</v>
      </c>
      <c r="D147" s="75" t="str">
        <f>IF(Calculos!BH5="","",Calculos!BH5)</f>
        <v/>
      </c>
      <c r="E147" s="53" t="s">
        <v>8</v>
      </c>
      <c r="F147" s="105" t="str">
        <f>IF(Calculos!BI5="","",Calculos!BI5)</f>
        <v/>
      </c>
      <c r="G147" s="106"/>
      <c r="H147" s="95"/>
      <c r="I147" s="96"/>
      <c r="J147" s="77"/>
      <c r="K147" s="39"/>
      <c r="L147" s="29"/>
      <c r="M147" s="29"/>
      <c r="N147" s="29"/>
      <c r="O147" s="29"/>
      <c r="P147" s="29"/>
      <c r="Q147" s="29"/>
      <c r="R147" s="29"/>
      <c r="S147" s="29"/>
      <c r="T147" s="29"/>
      <c r="U147" s="30"/>
    </row>
    <row r="148" spans="1:21" ht="15.75" thickBot="1" x14ac:dyDescent="0.3">
      <c r="A148" s="25"/>
      <c r="B148" s="74">
        <v>102</v>
      </c>
      <c r="C148" s="41" t="str">
        <f>IF(B148="","",INDEX(Calculos!$CO$4:$CO$200,MATCH(VALUE(SUBSTITUTE(B148,"M","")),Calculos!$CN$4:$CN$200,0)))</f>
        <v>15-Jul · Atlanta</v>
      </c>
      <c r="D148" s="75" t="str">
        <f>IF(Calculos!BH6="","",Calculos!BH6)</f>
        <v/>
      </c>
      <c r="E148" s="53" t="s">
        <v>8</v>
      </c>
      <c r="F148" s="97" t="str">
        <f>IF(Calculos!BI6="","",Calculos!BI6)</f>
        <v/>
      </c>
      <c r="G148" s="98"/>
      <c r="H148" s="95"/>
      <c r="I148" s="96"/>
      <c r="J148" s="29"/>
      <c r="K148" s="78" t="s">
        <v>851</v>
      </c>
      <c r="L148" s="29"/>
      <c r="M148" s="29"/>
      <c r="N148" s="29"/>
      <c r="O148" s="29"/>
      <c r="P148" s="29"/>
      <c r="Q148" s="29"/>
      <c r="R148" s="29"/>
      <c r="S148" s="29"/>
      <c r="T148" s="29"/>
      <c r="U148" s="30"/>
    </row>
    <row r="149" spans="1:21" ht="13.5" thickBot="1" x14ac:dyDescent="0.25">
      <c r="A149" s="25"/>
      <c r="B149" s="26"/>
      <c r="C149" s="76"/>
      <c r="D149" s="27"/>
      <c r="E149" s="27"/>
      <c r="F149" s="26"/>
      <c r="G149" s="27"/>
      <c r="H149" s="27"/>
      <c r="I149" s="27"/>
      <c r="J149" s="26"/>
      <c r="K149" s="39"/>
      <c r="L149" s="29"/>
      <c r="M149" s="29"/>
      <c r="N149" s="29"/>
      <c r="O149" s="29"/>
      <c r="P149" s="29"/>
      <c r="Q149" s="29"/>
      <c r="R149" s="29"/>
      <c r="S149" s="29"/>
      <c r="T149" s="29"/>
      <c r="U149" s="30"/>
    </row>
    <row r="150" spans="1:21" ht="13.5" thickBot="1" x14ac:dyDescent="0.25">
      <c r="A150" s="25"/>
      <c r="B150" s="92" t="s">
        <v>1028</v>
      </c>
      <c r="C150" s="93"/>
      <c r="D150" s="93"/>
      <c r="E150" s="93"/>
      <c r="F150" s="93"/>
      <c r="G150" s="93"/>
      <c r="H150" s="92" t="s">
        <v>1031</v>
      </c>
      <c r="I150" s="94"/>
      <c r="J150" s="26"/>
      <c r="K150" s="39"/>
      <c r="L150" s="29"/>
      <c r="M150" s="29"/>
      <c r="N150" s="29"/>
      <c r="O150" s="29"/>
      <c r="P150" s="29"/>
      <c r="Q150" s="29"/>
      <c r="R150" s="29"/>
      <c r="S150" s="29"/>
      <c r="T150" s="29"/>
      <c r="U150" s="30"/>
    </row>
    <row r="151" spans="1:21" ht="13.5" customHeight="1" thickBot="1" x14ac:dyDescent="0.25">
      <c r="A151" s="25"/>
      <c r="B151" s="74">
        <v>104</v>
      </c>
      <c r="C151" s="41" t="str">
        <f>IF(B151="","",INDEX(Calculos!$CO$4:$CO$200,MATCH(VALUE(SUBSTITUTE(B151,"M","")),Calculos!$CN$4:$CN$200,0)))</f>
        <v>19-Jul · Nueva York</v>
      </c>
      <c r="D151" s="79" t="str">
        <f>IF(Calculos!BM5="","",Calculos!BM5)</f>
        <v/>
      </c>
      <c r="E151" s="53" t="s">
        <v>8</v>
      </c>
      <c r="F151" s="105" t="str">
        <f>IF(Calculos!BN5="","",Calculos!BN5)</f>
        <v/>
      </c>
      <c r="G151" s="106"/>
      <c r="H151" s="95"/>
      <c r="I151" s="96"/>
      <c r="J151" s="26"/>
      <c r="K151" s="39"/>
      <c r="L151" s="29"/>
      <c r="M151" s="29"/>
      <c r="N151" s="29"/>
      <c r="O151" s="29"/>
      <c r="P151" s="29"/>
      <c r="Q151" s="29"/>
      <c r="R151" s="29"/>
      <c r="S151" s="29"/>
      <c r="T151" s="29"/>
      <c r="U151" s="30"/>
    </row>
    <row r="152" spans="1:21" ht="13.5" customHeight="1" thickBot="1" x14ac:dyDescent="0.25">
      <c r="A152" s="25"/>
      <c r="B152" s="92" t="s">
        <v>1029</v>
      </c>
      <c r="C152" s="93"/>
      <c r="D152" s="94"/>
      <c r="E152" s="29"/>
      <c r="F152" s="29"/>
      <c r="G152" s="29"/>
      <c r="H152" s="29"/>
      <c r="I152" s="29"/>
      <c r="J152" s="29"/>
      <c r="K152" s="39"/>
      <c r="L152" s="29"/>
      <c r="M152" s="29"/>
      <c r="N152" s="29"/>
      <c r="O152" s="29"/>
      <c r="P152" s="29"/>
      <c r="Q152" s="29"/>
      <c r="R152" s="29"/>
      <c r="S152" s="29"/>
      <c r="T152" s="29"/>
      <c r="U152" s="30"/>
    </row>
    <row r="153" spans="1:21" ht="12.75" customHeight="1" x14ac:dyDescent="0.2">
      <c r="A153" s="25"/>
      <c r="B153" s="29"/>
      <c r="C153" s="80" t="s">
        <v>44</v>
      </c>
      <c r="D153" s="81" t="str">
        <f>IF(H151="","",H151)</f>
        <v/>
      </c>
      <c r="E153" s="27"/>
      <c r="F153" s="26"/>
      <c r="G153" s="26"/>
      <c r="H153" s="26"/>
      <c r="I153" s="27"/>
      <c r="J153" s="29"/>
      <c r="K153" s="39"/>
      <c r="L153" s="29"/>
      <c r="M153" s="29"/>
      <c r="N153" s="29"/>
      <c r="O153" s="29"/>
      <c r="P153" s="29"/>
      <c r="Q153" s="29"/>
      <c r="R153" s="29"/>
      <c r="S153" s="29"/>
      <c r="T153" s="29"/>
      <c r="U153" s="30"/>
    </row>
    <row r="154" spans="1:21" ht="13.5" thickBot="1" x14ac:dyDescent="0.25">
      <c r="A154" s="25"/>
      <c r="B154" s="26"/>
      <c r="C154" s="26"/>
      <c r="D154" s="27"/>
      <c r="E154" s="27"/>
      <c r="F154" s="26"/>
      <c r="G154" s="26"/>
      <c r="H154" s="26"/>
      <c r="I154" s="27"/>
      <c r="J154" s="26"/>
      <c r="K154" s="39"/>
      <c r="L154" s="29"/>
      <c r="M154" s="29"/>
      <c r="N154" s="29"/>
      <c r="O154" s="29"/>
      <c r="P154" s="29"/>
      <c r="Q154" s="29"/>
      <c r="R154" s="29"/>
      <c r="S154" s="29"/>
      <c r="T154" s="29"/>
      <c r="U154" s="30"/>
    </row>
    <row r="155" spans="1:21" ht="13.5" hidden="1" thickBot="1" x14ac:dyDescent="0.25">
      <c r="A155" s="25"/>
      <c r="B155" s="26"/>
      <c r="C155" s="26"/>
      <c r="D155" s="27"/>
      <c r="E155" s="27"/>
      <c r="F155" s="26"/>
      <c r="G155" s="26"/>
      <c r="H155" s="26"/>
      <c r="I155" s="27"/>
      <c r="J155" s="26"/>
      <c r="K155" s="39"/>
      <c r="L155" s="29"/>
      <c r="M155" s="29"/>
      <c r="N155" s="29"/>
      <c r="O155" s="29"/>
      <c r="P155" s="29"/>
      <c r="Q155" s="29"/>
      <c r="R155" s="29"/>
      <c r="S155" s="29"/>
      <c r="T155" s="29"/>
      <c r="U155" s="30"/>
    </row>
    <row r="156" spans="1:21" ht="13.5" thickBot="1" x14ac:dyDescent="0.25">
      <c r="A156" s="25"/>
      <c r="B156" s="92" t="s">
        <v>1030</v>
      </c>
      <c r="C156" s="93"/>
      <c r="D156" s="93"/>
      <c r="E156" s="93"/>
      <c r="F156" s="93"/>
      <c r="G156" s="94"/>
      <c r="H156" s="26"/>
      <c r="I156" s="27"/>
      <c r="J156" s="26"/>
      <c r="K156" s="101"/>
      <c r="L156" s="101"/>
      <c r="M156" s="101"/>
      <c r="N156" s="101"/>
      <c r="O156" s="101"/>
      <c r="P156" s="101"/>
      <c r="Q156" s="101"/>
      <c r="R156" s="101"/>
      <c r="S156" s="29"/>
      <c r="T156" s="29"/>
      <c r="U156" s="30"/>
    </row>
    <row r="157" spans="1:21" ht="13.5" customHeight="1" thickBot="1" x14ac:dyDescent="0.3">
      <c r="A157" s="25"/>
      <c r="B157" s="74">
        <v>105</v>
      </c>
      <c r="C157" s="110" t="s">
        <v>828</v>
      </c>
      <c r="D157" s="111"/>
      <c r="E157" s="112"/>
      <c r="F157" s="121"/>
      <c r="G157" s="122"/>
      <c r="H157" s="26"/>
      <c r="I157" s="27"/>
      <c r="J157" s="26"/>
      <c r="K157" s="101"/>
      <c r="L157" s="101"/>
      <c r="M157" s="101"/>
      <c r="N157" s="101"/>
      <c r="O157" s="101"/>
      <c r="P157" s="101"/>
      <c r="Q157" s="101"/>
      <c r="R157" s="101"/>
      <c r="S157" s="29"/>
      <c r="T157" s="29"/>
      <c r="U157" s="30"/>
    </row>
    <row r="158" spans="1:21" ht="13.5" customHeight="1" thickBot="1" x14ac:dyDescent="0.3">
      <c r="A158" s="25"/>
      <c r="B158" s="74">
        <v>106</v>
      </c>
      <c r="C158" s="97" t="s">
        <v>829</v>
      </c>
      <c r="D158" s="118"/>
      <c r="E158" s="98"/>
      <c r="F158" s="119"/>
      <c r="G158" s="120"/>
      <c r="H158" s="26"/>
      <c r="I158" s="27"/>
      <c r="J158" s="26"/>
      <c r="K158" s="101"/>
      <c r="L158" s="101"/>
      <c r="M158" s="101"/>
      <c r="N158" s="101"/>
      <c r="O158" s="101"/>
      <c r="P158" s="101"/>
      <c r="Q158" s="101"/>
      <c r="R158" s="101"/>
      <c r="S158" s="29"/>
      <c r="T158" s="29"/>
      <c r="U158" s="30"/>
    </row>
    <row r="159" spans="1:21" ht="12.75" customHeight="1" thickBot="1" x14ac:dyDescent="0.3">
      <c r="A159" s="25"/>
      <c r="B159" s="74">
        <v>107</v>
      </c>
      <c r="C159" s="97" t="s">
        <v>830</v>
      </c>
      <c r="D159" s="118"/>
      <c r="E159" s="98"/>
      <c r="F159" s="119"/>
      <c r="G159" s="120"/>
      <c r="H159" s="29"/>
      <c r="I159" s="29"/>
      <c r="J159" s="26"/>
      <c r="K159" s="39"/>
      <c r="L159" s="29"/>
      <c r="M159" s="29"/>
      <c r="N159" s="29"/>
      <c r="O159" s="29"/>
      <c r="P159" s="29"/>
      <c r="Q159" s="29"/>
      <c r="R159" s="29"/>
      <c r="S159" s="29"/>
      <c r="T159" s="29"/>
      <c r="U159" s="30"/>
    </row>
    <row r="160" spans="1:21" ht="13.5" customHeight="1" thickBot="1" x14ac:dyDescent="0.3">
      <c r="A160" s="25"/>
      <c r="B160" s="74">
        <v>108</v>
      </c>
      <c r="C160" s="97" t="s">
        <v>831</v>
      </c>
      <c r="D160" s="118"/>
      <c r="E160" s="98"/>
      <c r="F160" s="119"/>
      <c r="G160" s="120"/>
      <c r="H160" s="26"/>
      <c r="I160" s="27"/>
      <c r="J160" s="26"/>
      <c r="K160" s="39"/>
      <c r="L160" s="29"/>
      <c r="M160" s="29"/>
      <c r="N160" s="29"/>
      <c r="O160" s="29"/>
      <c r="P160" s="29"/>
      <c r="Q160" s="29"/>
      <c r="R160" s="29"/>
      <c r="S160" s="29"/>
      <c r="T160" s="29"/>
      <c r="U160" s="30"/>
    </row>
    <row r="161" spans="1:21" ht="15.75" thickBot="1" x14ac:dyDescent="0.3">
      <c r="A161" s="25"/>
      <c r="B161" s="33"/>
      <c r="C161" s="33"/>
      <c r="D161" s="33"/>
      <c r="E161" s="82"/>
      <c r="F161" s="82"/>
      <c r="G161" s="33"/>
      <c r="H161" s="26"/>
      <c r="I161" s="27"/>
      <c r="J161" s="26"/>
      <c r="K161" s="39"/>
      <c r="L161" s="29"/>
      <c r="M161" s="29"/>
      <c r="N161" s="29"/>
      <c r="O161" s="29"/>
      <c r="P161" s="29"/>
      <c r="Q161" s="29"/>
      <c r="R161" s="29"/>
      <c r="S161" s="29"/>
      <c r="T161" s="29"/>
      <c r="U161" s="30"/>
    </row>
    <row r="162" spans="1:21" ht="13.5" thickBot="1" x14ac:dyDescent="0.25">
      <c r="A162" s="25"/>
      <c r="B162" s="92" t="s">
        <v>832</v>
      </c>
      <c r="C162" s="93"/>
      <c r="D162" s="93"/>
      <c r="E162" s="93"/>
      <c r="F162" s="93"/>
      <c r="G162" s="94"/>
      <c r="H162" s="26"/>
      <c r="I162" s="27"/>
      <c r="J162" s="26"/>
      <c r="K162" s="39"/>
      <c r="L162" s="29"/>
      <c r="M162" s="29"/>
      <c r="N162" s="29"/>
      <c r="O162" s="29"/>
      <c r="P162" s="29"/>
      <c r="Q162" s="29"/>
      <c r="R162" s="29"/>
      <c r="S162" s="29"/>
      <c r="T162" s="29"/>
      <c r="U162" s="30"/>
    </row>
    <row r="163" spans="1:21" ht="13.5" thickBot="1" x14ac:dyDescent="0.25">
      <c r="A163" s="25"/>
      <c r="B163" s="74" t="s">
        <v>833</v>
      </c>
      <c r="C163" s="110" t="s">
        <v>834</v>
      </c>
      <c r="D163" s="111"/>
      <c r="E163" s="112"/>
      <c r="F163" s="113"/>
      <c r="G163" s="114"/>
      <c r="H163" s="26"/>
      <c r="I163" s="27"/>
      <c r="J163" s="26"/>
      <c r="K163" s="39"/>
      <c r="L163" s="29"/>
      <c r="M163" s="29"/>
      <c r="N163" s="29"/>
      <c r="O163" s="29"/>
      <c r="P163" s="29"/>
      <c r="Q163" s="29"/>
      <c r="R163" s="29"/>
      <c r="S163" s="29"/>
      <c r="T163" s="29"/>
      <c r="U163" s="30"/>
    </row>
    <row r="164" spans="1:21" x14ac:dyDescent="0.2">
      <c r="A164" s="25"/>
      <c r="B164" s="83"/>
      <c r="C164" s="83"/>
      <c r="D164" s="27"/>
      <c r="E164" s="27"/>
      <c r="F164" s="26"/>
      <c r="G164" s="26"/>
      <c r="H164" s="26"/>
      <c r="I164" s="27"/>
      <c r="J164" s="26"/>
      <c r="K164" s="39"/>
      <c r="L164" s="29"/>
      <c r="M164" s="29"/>
      <c r="N164" s="29"/>
      <c r="O164" s="29"/>
      <c r="P164" s="29"/>
      <c r="Q164" s="29"/>
      <c r="R164" s="29"/>
      <c r="S164" s="29"/>
      <c r="T164" s="29"/>
      <c r="U164" s="30"/>
    </row>
    <row r="165" spans="1:21" x14ac:dyDescent="0.2">
      <c r="A165" s="25"/>
      <c r="B165" s="26"/>
      <c r="C165" s="26"/>
      <c r="D165" s="27"/>
      <c r="E165" s="27"/>
      <c r="F165" s="26"/>
      <c r="G165" s="26"/>
      <c r="H165" s="26"/>
      <c r="I165" s="27"/>
      <c r="J165" s="26"/>
      <c r="K165" s="39"/>
      <c r="L165" s="29"/>
      <c r="M165" s="29"/>
      <c r="N165" s="29"/>
      <c r="O165" s="29"/>
      <c r="P165" s="29"/>
      <c r="Q165" s="29"/>
      <c r="R165" s="29"/>
      <c r="S165" s="29"/>
      <c r="T165" s="29"/>
      <c r="U165" s="30"/>
    </row>
    <row r="166" spans="1:21" ht="13.5" thickBot="1" x14ac:dyDescent="0.25">
      <c r="A166" s="84"/>
      <c r="B166" s="85"/>
      <c r="C166" s="85"/>
      <c r="D166" s="86"/>
      <c r="E166" s="86"/>
      <c r="F166" s="85"/>
      <c r="G166" s="85"/>
      <c r="H166" s="85"/>
      <c r="I166" s="86"/>
      <c r="J166" s="85"/>
      <c r="K166" s="87"/>
      <c r="L166" s="88"/>
      <c r="M166" s="88"/>
      <c r="N166" s="88"/>
      <c r="O166" s="88"/>
      <c r="P166" s="88"/>
      <c r="Q166" s="88"/>
      <c r="R166" s="88"/>
      <c r="S166" s="88"/>
      <c r="T166" s="88"/>
      <c r="U166" s="89"/>
    </row>
    <row r="167" spans="1:21" ht="13.5" hidden="1" thickTop="1" x14ac:dyDescent="0.2">
      <c r="B167" s="90"/>
      <c r="C167" s="90"/>
      <c r="D167" s="27"/>
      <c r="E167" s="27"/>
      <c r="F167" s="26"/>
      <c r="G167" s="26"/>
      <c r="H167" s="19"/>
      <c r="I167" s="20"/>
      <c r="J167" s="19"/>
    </row>
    <row r="168" spans="1:21" hidden="1" x14ac:dyDescent="0.2">
      <c r="B168" s="19"/>
      <c r="C168" s="19"/>
      <c r="D168" s="20"/>
      <c r="E168" s="20"/>
      <c r="F168" s="19"/>
      <c r="G168" s="19"/>
      <c r="H168" s="19"/>
      <c r="I168" s="20"/>
      <c r="J168" s="19"/>
    </row>
    <row r="169" spans="1:21" hidden="1" x14ac:dyDescent="0.2">
      <c r="B169" s="19"/>
      <c r="C169" s="19"/>
      <c r="D169" s="20"/>
      <c r="E169" s="20"/>
      <c r="F169" s="19"/>
      <c r="G169" s="19"/>
      <c r="H169" s="19"/>
      <c r="I169" s="20"/>
      <c r="J169" s="19"/>
    </row>
    <row r="170" spans="1:21" hidden="1" x14ac:dyDescent="0.2">
      <c r="B170" s="19"/>
      <c r="C170" s="19"/>
      <c r="D170" s="20"/>
      <c r="E170" s="20"/>
      <c r="F170" s="19"/>
      <c r="G170" s="19"/>
      <c r="J170" s="19"/>
    </row>
    <row r="171" spans="1:21" hidden="1" x14ac:dyDescent="0.2">
      <c r="B171" s="19"/>
      <c r="C171" s="19"/>
      <c r="D171" s="20"/>
      <c r="E171" s="20"/>
      <c r="F171" s="19"/>
      <c r="G171" s="19"/>
    </row>
    <row r="172" spans="1:21" hidden="1" x14ac:dyDescent="0.2">
      <c r="B172" s="19"/>
      <c r="C172" s="19"/>
      <c r="D172" s="20"/>
      <c r="E172" s="20"/>
      <c r="F172" s="19"/>
      <c r="G172" s="19"/>
    </row>
    <row r="173" spans="1:21" hidden="1" x14ac:dyDescent="0.2">
      <c r="B173" s="19"/>
      <c r="C173" s="19"/>
      <c r="D173" s="20"/>
      <c r="E173" s="20"/>
      <c r="F173" s="19"/>
      <c r="G173" s="19"/>
    </row>
  </sheetData>
  <sheetProtection algorithmName="SHA-512" hashValue="z7knli+iRpK/p2d/1jVDv8PyHNTrsjHEOm+iBfVF7DnlrF+8XO6zFLlaWd/AyID3QAfcenliRJPy6Q/YwCvkeg==" saltValue="QiZCCtO7UEALYkm0jDklYA==" spinCount="100000" sheet="1" objects="1" scenarios="1" selectLockedCells="1"/>
  <mergeCells count="206">
    <mergeCell ref="B2:N2"/>
    <mergeCell ref="D11:I11"/>
    <mergeCell ref="D10:I10"/>
    <mergeCell ref="E7:H7"/>
    <mergeCell ref="E5:H5"/>
    <mergeCell ref="E6:H6"/>
    <mergeCell ref="M122:O124"/>
    <mergeCell ref="H118:I118"/>
    <mergeCell ref="H119:I119"/>
    <mergeCell ref="H120:I120"/>
    <mergeCell ref="H121:I121"/>
    <mergeCell ref="H122:I122"/>
    <mergeCell ref="H113:I113"/>
    <mergeCell ref="H114:I114"/>
    <mergeCell ref="H115:I115"/>
    <mergeCell ref="H116:I116"/>
    <mergeCell ref="H117:I117"/>
    <mergeCell ref="G106:H106"/>
    <mergeCell ref="G107:H107"/>
    <mergeCell ref="G108:H108"/>
    <mergeCell ref="G109:H109"/>
    <mergeCell ref="G110:H110"/>
    <mergeCell ref="G100:H100"/>
    <mergeCell ref="G101:H101"/>
    <mergeCell ref="H138:I138"/>
    <mergeCell ref="H141:I141"/>
    <mergeCell ref="C163:E163"/>
    <mergeCell ref="F163:G163"/>
    <mergeCell ref="B14:I14"/>
    <mergeCell ref="C159:E159"/>
    <mergeCell ref="F159:G159"/>
    <mergeCell ref="C160:E160"/>
    <mergeCell ref="F160:G160"/>
    <mergeCell ref="B162:G162"/>
    <mergeCell ref="B156:G156"/>
    <mergeCell ref="C157:E157"/>
    <mergeCell ref="F157:G157"/>
    <mergeCell ref="C158:E158"/>
    <mergeCell ref="F158:G158"/>
    <mergeCell ref="B71:I71"/>
    <mergeCell ref="B63:I63"/>
    <mergeCell ref="B55:I55"/>
    <mergeCell ref="B47:I47"/>
    <mergeCell ref="B39:I39"/>
    <mergeCell ref="H151:I151"/>
    <mergeCell ref="H128:I128"/>
    <mergeCell ref="G15:H15"/>
    <mergeCell ref="B16:I16"/>
    <mergeCell ref="G102:H102"/>
    <mergeCell ref="G104:H104"/>
    <mergeCell ref="G105:H105"/>
    <mergeCell ref="B103:I103"/>
    <mergeCell ref="G94:H94"/>
    <mergeCell ref="G96:H96"/>
    <mergeCell ref="G97:H97"/>
    <mergeCell ref="G98:H98"/>
    <mergeCell ref="G99:H99"/>
    <mergeCell ref="G89:H89"/>
    <mergeCell ref="G90:H90"/>
    <mergeCell ref="G91:H91"/>
    <mergeCell ref="G92:H92"/>
    <mergeCell ref="G93:H93"/>
    <mergeCell ref="B95:I95"/>
    <mergeCell ref="G83:H83"/>
    <mergeCell ref="G84:H84"/>
    <mergeCell ref="G85:H85"/>
    <mergeCell ref="G86:H86"/>
    <mergeCell ref="G88:H88"/>
    <mergeCell ref="G81:H81"/>
    <mergeCell ref="G82:H82"/>
    <mergeCell ref="B87:I87"/>
    <mergeCell ref="B79:I79"/>
    <mergeCell ref="G72:H72"/>
    <mergeCell ref="G73:H73"/>
    <mergeCell ref="G74:H74"/>
    <mergeCell ref="G75:H75"/>
    <mergeCell ref="G76:H76"/>
    <mergeCell ref="G42:H42"/>
    <mergeCell ref="G29:H29"/>
    <mergeCell ref="G30:H30"/>
    <mergeCell ref="G33:H33"/>
    <mergeCell ref="G34:H34"/>
    <mergeCell ref="G35:H35"/>
    <mergeCell ref="G77:H77"/>
    <mergeCell ref="G78:H78"/>
    <mergeCell ref="G80:H80"/>
    <mergeCell ref="K23:N23"/>
    <mergeCell ref="K16:N16"/>
    <mergeCell ref="F113:G113"/>
    <mergeCell ref="F114:G114"/>
    <mergeCell ref="F115:G115"/>
    <mergeCell ref="F116:G116"/>
    <mergeCell ref="F117:G117"/>
    <mergeCell ref="F118:G118"/>
    <mergeCell ref="F119:G119"/>
    <mergeCell ref="G22:H22"/>
    <mergeCell ref="G25:H25"/>
    <mergeCell ref="G26:H26"/>
    <mergeCell ref="G27:H27"/>
    <mergeCell ref="B23:I23"/>
    <mergeCell ref="G62:H62"/>
    <mergeCell ref="G65:H65"/>
    <mergeCell ref="G66:H66"/>
    <mergeCell ref="G67:H67"/>
    <mergeCell ref="G69:H69"/>
    <mergeCell ref="G70:H70"/>
    <mergeCell ref="G24:H24"/>
    <mergeCell ref="G32:H32"/>
    <mergeCell ref="G40:H40"/>
    <mergeCell ref="G48:H48"/>
    <mergeCell ref="G17:H17"/>
    <mergeCell ref="G18:H18"/>
    <mergeCell ref="G19:H19"/>
    <mergeCell ref="G20:H20"/>
    <mergeCell ref="G21:H21"/>
    <mergeCell ref="G36:H36"/>
    <mergeCell ref="H148:I148"/>
    <mergeCell ref="H135:I135"/>
    <mergeCell ref="H136:I136"/>
    <mergeCell ref="F124:G124"/>
    <mergeCell ref="F125:G125"/>
    <mergeCell ref="F126:G126"/>
    <mergeCell ref="F127:G127"/>
    <mergeCell ref="F128:G128"/>
    <mergeCell ref="G68:H68"/>
    <mergeCell ref="G57:H57"/>
    <mergeCell ref="G58:H58"/>
    <mergeCell ref="G59:H59"/>
    <mergeCell ref="G60:H60"/>
    <mergeCell ref="G61:H61"/>
    <mergeCell ref="G50:H50"/>
    <mergeCell ref="G51:H51"/>
    <mergeCell ref="G52:H52"/>
    <mergeCell ref="F120:G120"/>
    <mergeCell ref="K63:N63"/>
    <mergeCell ref="K55:N55"/>
    <mergeCell ref="K47:N47"/>
    <mergeCell ref="K39:N39"/>
    <mergeCell ref="K31:N31"/>
    <mergeCell ref="G28:H28"/>
    <mergeCell ref="K111:N111"/>
    <mergeCell ref="K103:N103"/>
    <mergeCell ref="K95:N95"/>
    <mergeCell ref="K87:N87"/>
    <mergeCell ref="K79:N79"/>
    <mergeCell ref="G53:H53"/>
    <mergeCell ref="G54:H54"/>
    <mergeCell ref="G43:H43"/>
    <mergeCell ref="G44:H44"/>
    <mergeCell ref="G45:H45"/>
    <mergeCell ref="G46:H46"/>
    <mergeCell ref="G49:H49"/>
    <mergeCell ref="G37:H37"/>
    <mergeCell ref="G38:H38"/>
    <mergeCell ref="G41:H41"/>
    <mergeCell ref="G56:H56"/>
    <mergeCell ref="G64:H64"/>
    <mergeCell ref="B31:I31"/>
    <mergeCell ref="D12:G12"/>
    <mergeCell ref="H12:I12"/>
    <mergeCell ref="K156:R158"/>
    <mergeCell ref="K142:L142"/>
    <mergeCell ref="B152:D152"/>
    <mergeCell ref="F131:G131"/>
    <mergeCell ref="F132:G132"/>
    <mergeCell ref="F133:G133"/>
    <mergeCell ref="F134:G134"/>
    <mergeCell ref="F135:G135"/>
    <mergeCell ref="F136:G136"/>
    <mergeCell ref="F137:G137"/>
    <mergeCell ref="F138:G138"/>
    <mergeCell ref="F141:G141"/>
    <mergeCell ref="F142:G142"/>
    <mergeCell ref="F143:G143"/>
    <mergeCell ref="F144:G144"/>
    <mergeCell ref="F147:G147"/>
    <mergeCell ref="F148:G148"/>
    <mergeCell ref="F151:G151"/>
    <mergeCell ref="H142:I142"/>
    <mergeCell ref="H143:I143"/>
    <mergeCell ref="H144:I144"/>
    <mergeCell ref="K71:N71"/>
    <mergeCell ref="B112:G112"/>
    <mergeCell ref="H112:I112"/>
    <mergeCell ref="B130:G130"/>
    <mergeCell ref="H130:I130"/>
    <mergeCell ref="B140:G140"/>
    <mergeCell ref="H140:I140"/>
    <mergeCell ref="B146:G146"/>
    <mergeCell ref="H146:I146"/>
    <mergeCell ref="B150:G150"/>
    <mergeCell ref="H150:I150"/>
    <mergeCell ref="H147:I147"/>
    <mergeCell ref="F121:G121"/>
    <mergeCell ref="F122:G122"/>
    <mergeCell ref="F123:G123"/>
    <mergeCell ref="H131:I131"/>
    <mergeCell ref="H132:I132"/>
    <mergeCell ref="H133:I133"/>
    <mergeCell ref="H134:I134"/>
    <mergeCell ref="H123:I123"/>
    <mergeCell ref="H124:I124"/>
    <mergeCell ref="H125:I125"/>
    <mergeCell ref="H126:I126"/>
    <mergeCell ref="H127:I127"/>
    <mergeCell ref="H137:I137"/>
  </mergeCells>
  <conditionalFormatting sqref="J7:K7">
    <cfRule type="containsText" dxfId="8" priority="9" operator="containsText" text="Completa">
      <formula>NOT(ISERROR(SEARCH("Completa",J7)))</formula>
    </cfRule>
  </conditionalFormatting>
  <conditionalFormatting sqref="E7">
    <cfRule type="cellIs" dxfId="7" priority="7" stopIfTrue="1" operator="equal">
      <formula>"INCOMPLETA"</formula>
    </cfRule>
    <cfRule type="cellIs" dxfId="6" priority="8" stopIfTrue="1" operator="equal">
      <formula>"COMPLETA"</formula>
    </cfRule>
  </conditionalFormatting>
  <conditionalFormatting sqref="E5:E6">
    <cfRule type="cellIs" dxfId="5" priority="5" operator="equal">
      <formula>"X"</formula>
    </cfRule>
  </conditionalFormatting>
  <conditionalFormatting sqref="E5:E6">
    <cfRule type="containsBlanks" dxfId="4" priority="34" stopIfTrue="1">
      <formula>LEN(TRIM(E5))=0</formula>
    </cfRule>
  </conditionalFormatting>
  <conditionalFormatting sqref="E17:E22 I17:I22 E25:E30 I25:I30 E33:E38 I33:I38 E41:E46 I41:I46 E49:E54 I49:I54 E57:E62 I57:I62 E65:E70 I65:I70 E73:E78 I73:I78 E81:E86 I81:I86 E89:E94 I89:I94 E97:E102 I97:I102 E105:E110 I105:I110">
    <cfRule type="containsBlanks" dxfId="3" priority="25">
      <formula>LEN(TRIM(E17))=0</formula>
    </cfRule>
    <cfRule type="notContainsBlanks" dxfId="2" priority="26">
      <formula>LEN(TRIM(E17))&gt;0</formula>
    </cfRule>
  </conditionalFormatting>
  <conditionalFormatting sqref="H113:I128 H131:I138 H141:I144 H147:I148 H151 F157:G160 F163">
    <cfRule type="notContainsBlanks" dxfId="1" priority="28">
      <formula>LEN(TRIM(F113))&gt;0</formula>
    </cfRule>
    <cfRule type="containsBlanks" dxfId="0" priority="29">
      <formula>LEN(TRIM(F113))=0</formula>
    </cfRule>
  </conditionalFormatting>
  <dataValidations count="5">
    <dataValidation type="whole" allowBlank="1" showInputMessage="1" showErrorMessage="1" error="Solo se permiten números enteros." sqref="F163:G163" xr:uid="{5CE8472E-B1A7-47B8-A96F-C4A104814F32}">
      <formula1>0</formula1>
      <formula2>500</formula2>
    </dataValidation>
    <dataValidation type="list" allowBlank="1" showInputMessage="1" showErrorMessage="1" sqref="G162" xr:uid="{98F7F7DB-9467-4320-B5C2-E77ECF547668}">
      <formula1>$V$15:$V$29</formula1>
    </dataValidation>
    <dataValidation type="whole" allowBlank="1" showInputMessage="1" showErrorMessage="1" errorTitle="Dato inválido" error="Solo se permiten números enteros entre 0 y 20." sqref="E105:E110 E17:E22 I17:I22 I105:I110 E25:E30 E33:E38 I33:I38 I41:I46 E41:E46 E49:E54 I49:I54 I57:I62 E57:E62 E65:E70 I65:I70 I73:I78 E73:E78 E81:E86 I81:I86 I89:I94 E89:E94 E97:E102 I97:I102 I25 I27:I30" xr:uid="{7D14F41A-FBAE-4474-883B-A4B6099C97F1}">
      <formula1>0</formula1>
      <formula2>20</formula2>
    </dataValidation>
    <dataValidation allowBlank="1" showInputMessage="1" showErrorMessage="1" errorTitle="Dato inválido" error="Solo se puede llenar con texto" sqref="I26" xr:uid="{3DA1752C-489F-437A-9EFE-A1FFC9AC90EB}"/>
    <dataValidation type="textLength" allowBlank="1" showInputMessage="1" showErrorMessage="1" errorTitle="Dato inválido" error="Solo se puede llenar con texto" sqref="E6:H6 E5:H5" xr:uid="{179DA8F1-A35D-4241-A6D2-16DD9736048B}">
      <formula1>1</formula1>
      <formula2>50</formula2>
    </dataValidation>
  </dataValidations>
  <hyperlinks>
    <hyperlink ref="K145" r:id="rId1" xr:uid="{5C415090-B4C2-4794-AB31-5B1A4F986CED}"/>
    <hyperlink ref="K148" r:id="rId2" xr:uid="{FD89951A-A5AB-4987-A9DC-2D074355C1B7}"/>
  </hyperlinks>
  <pageMargins left="0.25" right="0.25" top="0.75" bottom="0.75" header="0.3" footer="0.3"/>
  <pageSetup paperSize="5" scale="45" fitToWidth="0" fitToHeight="0" orientation="portrait" r:id="rId3"/>
  <ignoredErrors>
    <ignoredError sqref="D18" formula="1"/>
  </ignoredErrors>
  <drawing r:id="rId4"/>
  <legacyDrawing r:id="rId5"/>
  <extLst>
    <ext xmlns:x14="http://schemas.microsoft.com/office/spreadsheetml/2009/9/main" uri="{CCE6A557-97BC-4b89-ADB6-D9C93CAAB3DF}">
      <x14:dataValidations xmlns:xm="http://schemas.microsoft.com/office/excel/2006/main" count="32">
        <x14:dataValidation type="list" allowBlank="1" errorTitle="Valor no válido" error="Elige un equipo de la lista." promptTitle="Especiales" prompt="Selecciona cualquier equipo del catálogo oficial." xr:uid="{885878FE-1A87-4681-A464-1C9BE47ABBD9}">
          <x14:formula1>
            <xm:f>Calculos!$CR$4:$CR$51</xm:f>
          </x14:formula1>
          <xm:sqref>F157:G160</xm:sqref>
        </x14:dataValidation>
        <x14:dataValidation type="list" allowBlank="1" xr:uid="{00000000-0002-0000-0000-000000000000}">
          <x14:formula1>
            <xm:f>Calculos!$BH$20:$BH$21</xm:f>
          </x14:formula1>
          <xm:sqref>H113</xm:sqref>
        </x14:dataValidation>
        <x14:dataValidation type="list" allowBlank="1" xr:uid="{00000000-0002-0000-0000-000001000000}">
          <x14:formula1>
            <xm:f>Calculos!$BP$20:$BP$21</xm:f>
          </x14:formula1>
          <xm:sqref>H121</xm:sqref>
        </x14:dataValidation>
        <x14:dataValidation type="list" allowBlank="1" xr:uid="{00000000-0002-0000-0000-000002000000}">
          <x14:formula1>
            <xm:f>Calculos!$BI$20:$BI$21</xm:f>
          </x14:formula1>
          <xm:sqref>H114</xm:sqref>
        </x14:dataValidation>
        <x14:dataValidation type="list" allowBlank="1" xr:uid="{00000000-0002-0000-0000-000003000000}">
          <x14:formula1>
            <xm:f>Calculos!$BQ$20:$BQ$21</xm:f>
          </x14:formula1>
          <xm:sqref>H122</xm:sqref>
        </x14:dataValidation>
        <x14:dataValidation type="list" allowBlank="1" xr:uid="{00000000-0002-0000-0000-000004000000}">
          <x14:formula1>
            <xm:f>Calculos!$BJ$20:$BJ$21</xm:f>
          </x14:formula1>
          <xm:sqref>H115</xm:sqref>
        </x14:dataValidation>
        <x14:dataValidation type="list" allowBlank="1" xr:uid="{00000000-0002-0000-0000-000005000000}">
          <x14:formula1>
            <xm:f>Calculos!$BR$20:$BR$21</xm:f>
          </x14:formula1>
          <xm:sqref>H123</xm:sqref>
        </x14:dataValidation>
        <x14:dataValidation type="list" allowBlank="1" xr:uid="{00000000-0002-0000-0000-000006000000}">
          <x14:formula1>
            <xm:f>Calculos!$BK$20:$BK$21</xm:f>
          </x14:formula1>
          <xm:sqref>H116</xm:sqref>
        </x14:dataValidation>
        <x14:dataValidation type="list" allowBlank="1" xr:uid="{00000000-0002-0000-0000-000007000000}">
          <x14:formula1>
            <xm:f>Calculos!$BS$20:$BS$21</xm:f>
          </x14:formula1>
          <xm:sqref>H124</xm:sqref>
        </x14:dataValidation>
        <x14:dataValidation type="list" allowBlank="1" xr:uid="{00000000-0002-0000-0000-000008000000}">
          <x14:formula1>
            <xm:f>Calculos!$BL$20:$BL$21</xm:f>
          </x14:formula1>
          <xm:sqref>H117</xm:sqref>
        </x14:dataValidation>
        <x14:dataValidation type="list" allowBlank="1" xr:uid="{00000000-0002-0000-0000-000009000000}">
          <x14:formula1>
            <xm:f>Calculos!$BT$20:$BT$21</xm:f>
          </x14:formula1>
          <xm:sqref>H125</xm:sqref>
        </x14:dataValidation>
        <x14:dataValidation type="list" allowBlank="1" xr:uid="{00000000-0002-0000-0000-00000A000000}">
          <x14:formula1>
            <xm:f>Calculos!$BM$20:$BM$21</xm:f>
          </x14:formula1>
          <xm:sqref>H118</xm:sqref>
        </x14:dataValidation>
        <x14:dataValidation type="list" allowBlank="1" xr:uid="{00000000-0002-0000-0000-00000B000000}">
          <x14:formula1>
            <xm:f>Calculos!$BU$20:$BU$21</xm:f>
          </x14:formula1>
          <xm:sqref>H126</xm:sqref>
        </x14:dataValidation>
        <x14:dataValidation type="list" allowBlank="1" xr:uid="{00000000-0002-0000-0000-00000C000000}">
          <x14:formula1>
            <xm:f>Calculos!$BN$20:$BN$21</xm:f>
          </x14:formula1>
          <xm:sqref>H119</xm:sqref>
        </x14:dataValidation>
        <x14:dataValidation type="list" allowBlank="1" xr:uid="{00000000-0002-0000-0000-00000D000000}">
          <x14:formula1>
            <xm:f>Calculos!$BV$20:$BV$21</xm:f>
          </x14:formula1>
          <xm:sqref>H127</xm:sqref>
        </x14:dataValidation>
        <x14:dataValidation type="list" allowBlank="1" xr:uid="{00000000-0002-0000-0000-000010000000}">
          <x14:formula1>
            <xm:f>Calculos!$BX$20:$BX$21</xm:f>
          </x14:formula1>
          <xm:sqref>H131</xm:sqref>
        </x14:dataValidation>
        <x14:dataValidation type="list" allowBlank="1" xr:uid="{00000000-0002-0000-0000-000011000000}">
          <x14:formula1>
            <xm:f>Calculos!$CB$20:$CB$21</xm:f>
          </x14:formula1>
          <xm:sqref>H135</xm:sqref>
        </x14:dataValidation>
        <x14:dataValidation type="list" allowBlank="1" xr:uid="{00000000-0002-0000-0000-000012000000}">
          <x14:formula1>
            <xm:f>Calculos!$BY$20:$BY$21</xm:f>
          </x14:formula1>
          <xm:sqref>H132</xm:sqref>
        </x14:dataValidation>
        <x14:dataValidation type="list" allowBlank="1" xr:uid="{00000000-0002-0000-0000-000013000000}">
          <x14:formula1>
            <xm:f>Calculos!$CC$20:$CC$21</xm:f>
          </x14:formula1>
          <xm:sqref>H136</xm:sqref>
        </x14:dataValidation>
        <x14:dataValidation type="list" allowBlank="1" xr:uid="{00000000-0002-0000-0000-000014000000}">
          <x14:formula1>
            <xm:f>Calculos!$BZ$20:$BZ$21</xm:f>
          </x14:formula1>
          <xm:sqref>H133</xm:sqref>
        </x14:dataValidation>
        <x14:dataValidation type="list" allowBlank="1" xr:uid="{00000000-0002-0000-0000-000015000000}">
          <x14:formula1>
            <xm:f>Calculos!$CD$20:$CD$21</xm:f>
          </x14:formula1>
          <xm:sqref>H137</xm:sqref>
        </x14:dataValidation>
        <x14:dataValidation type="list" allowBlank="1" xr:uid="{00000000-0002-0000-0000-000018000000}">
          <x14:formula1>
            <xm:f>Calculos!$CF$20:$CF$21</xm:f>
          </x14:formula1>
          <xm:sqref>H141</xm:sqref>
        </x14:dataValidation>
        <x14:dataValidation type="list" allowBlank="1" xr:uid="{00000000-0002-0000-0000-000019000000}">
          <x14:formula1>
            <xm:f>Calculos!$CH$20:$CH$21</xm:f>
          </x14:formula1>
          <xm:sqref>H143</xm:sqref>
        </x14:dataValidation>
        <x14:dataValidation type="list" allowBlank="1" xr:uid="{00000000-0002-0000-0000-00001E000000}">
          <x14:formula1>
            <xm:f>Calculos!$CL$20:$CL$21</xm:f>
          </x14:formula1>
          <xm:sqref>H151</xm:sqref>
        </x14:dataValidation>
        <x14:dataValidation type="list" allowBlank="1" xr:uid="{00000000-0002-0000-0000-00000F000000}">
          <x14:formula1>
            <xm:f>Calculos!$BW$20:$BW$21</xm:f>
          </x14:formula1>
          <xm:sqref>H128</xm:sqref>
        </x14:dataValidation>
        <x14:dataValidation type="list" allowBlank="1" xr:uid="{00000000-0002-0000-0000-000017000000}">
          <x14:formula1>
            <xm:f>Calculos!$CE$20:$CE$21</xm:f>
          </x14:formula1>
          <xm:sqref>H138</xm:sqref>
        </x14:dataValidation>
        <x14:dataValidation type="list" allowBlank="1" xr:uid="{00000000-0002-0000-0000-00001B000000}">
          <x14:formula1>
            <xm:f>Calculos!$CI$20:$CI$21</xm:f>
          </x14:formula1>
          <xm:sqref>H144</xm:sqref>
        </x14:dataValidation>
        <x14:dataValidation type="list" allowBlank="1" xr:uid="{00000000-0002-0000-0000-00001D000000}">
          <x14:formula1>
            <xm:f>Calculos!$CK$20:$CK$21</xm:f>
          </x14:formula1>
          <xm:sqref>H148</xm:sqref>
        </x14:dataValidation>
        <x14:dataValidation type="list" allowBlank="1" xr:uid="{00000000-0002-0000-0000-00000E000000}">
          <x14:formula1>
            <xm:f>Calculos!$BO$20:$BO$21</xm:f>
          </x14:formula1>
          <xm:sqref>I129 H120:H128</xm:sqref>
        </x14:dataValidation>
        <x14:dataValidation type="list" allowBlank="1" xr:uid="{00000000-0002-0000-0000-000016000000}">
          <x14:formula1>
            <xm:f>Calculos!$CA$20:$CA$21</xm:f>
          </x14:formula1>
          <xm:sqref>I139 H134:H138</xm:sqref>
        </x14:dataValidation>
        <x14:dataValidation type="list" allowBlank="1" xr:uid="{00000000-0002-0000-0000-00001A000000}">
          <x14:formula1>
            <xm:f>Calculos!$CG$20:$CG$21</xm:f>
          </x14:formula1>
          <xm:sqref>I145 H142:H144</xm:sqref>
        </x14:dataValidation>
        <x14:dataValidation type="list" allowBlank="1" xr:uid="{00000000-0002-0000-0000-00001C000000}">
          <x14:formula1>
            <xm:f>Calculos!$CJ$20:$CJ$21</xm:f>
          </x14:formula1>
          <xm:sqref>I149 H147:H148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DN515"/>
  <sheetViews>
    <sheetView showGridLines="0" topLeftCell="AA1" zoomScale="85" zoomScaleNormal="85" workbookViewId="0">
      <selection activeCell="AU23" sqref="AU23"/>
    </sheetView>
  </sheetViews>
  <sheetFormatPr baseColWidth="10" defaultColWidth="9.140625" defaultRowHeight="15" x14ac:dyDescent="0.25"/>
  <cols>
    <col min="1" max="1" width="12" customWidth="1"/>
    <col min="2" max="2" width="19.28515625" bestFit="1" customWidth="1"/>
    <col min="3" max="4" width="26.28515625" bestFit="1" customWidth="1"/>
    <col min="5" max="5" width="19.28515625" bestFit="1" customWidth="1"/>
    <col min="6" max="21" width="12" customWidth="1"/>
    <col min="22" max="22" width="13.85546875" bestFit="1" customWidth="1"/>
    <col min="23" max="41" width="12" customWidth="1"/>
    <col min="42" max="42" width="22.7109375" bestFit="1" customWidth="1"/>
    <col min="43" max="46" width="12" customWidth="1"/>
    <col min="47" max="47" width="22.7109375" bestFit="1" customWidth="1"/>
    <col min="48" max="69" width="12" customWidth="1"/>
    <col min="92" max="92" width="12" customWidth="1"/>
    <col min="93" max="93" width="30" customWidth="1"/>
    <col min="94" max="94" width="10" customWidth="1"/>
    <col min="96" max="96" width="26.28515625" bestFit="1" customWidth="1"/>
    <col min="97" max="97" width="7.28515625" bestFit="1" customWidth="1"/>
    <col min="98" max="98" width="4.42578125" bestFit="1" customWidth="1"/>
    <col min="99" max="99" width="4.28515625" bestFit="1" customWidth="1"/>
    <col min="100" max="100" width="4.42578125" bestFit="1" customWidth="1"/>
    <col min="101" max="101" width="3.85546875" bestFit="1" customWidth="1"/>
    <col min="102" max="102" width="14.85546875" bestFit="1" customWidth="1"/>
    <col min="103" max="103" width="10.28515625" bestFit="1" customWidth="1"/>
    <col min="104" max="104" width="14.5703125" bestFit="1" customWidth="1"/>
    <col min="105" max="105" width="13.42578125" bestFit="1" customWidth="1"/>
    <col min="106" max="106" width="2.85546875" customWidth="1"/>
    <col min="107" max="107" width="24.42578125" bestFit="1" customWidth="1"/>
    <col min="108" max="108" width="4.28515625" bestFit="1" customWidth="1"/>
    <col min="109" max="109" width="2" customWidth="1"/>
    <col min="110" max="110" width="32.5703125" bestFit="1" customWidth="1"/>
    <col min="111" max="111" width="14.5703125" bestFit="1" customWidth="1"/>
    <col min="112" max="112" width="1.5703125" customWidth="1"/>
    <col min="113" max="113" width="32" bestFit="1" customWidth="1"/>
    <col min="114" max="114" width="2" customWidth="1"/>
    <col min="115" max="115" width="36" bestFit="1" customWidth="1"/>
    <col min="116" max="116" width="1.85546875" customWidth="1"/>
    <col min="117" max="117" width="25.28515625" bestFit="1" customWidth="1"/>
  </cols>
  <sheetData>
    <row r="1" spans="1:118" x14ac:dyDescent="0.25">
      <c r="A1" s="139" t="s">
        <v>45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M1" s="139" t="s">
        <v>46</v>
      </c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AO1" s="139" t="s">
        <v>47</v>
      </c>
      <c r="AP1" s="138"/>
      <c r="AS1" s="139" t="s">
        <v>48</v>
      </c>
      <c r="AT1" s="138"/>
      <c r="AU1" s="138"/>
      <c r="AV1" s="138"/>
      <c r="AW1" s="138"/>
      <c r="AX1" s="138"/>
      <c r="AY1" s="138"/>
      <c r="AZ1" s="138"/>
      <c r="BA1" s="138"/>
      <c r="BB1" s="138"/>
      <c r="BC1" s="138"/>
      <c r="BD1" s="138"/>
      <c r="BE1" s="138"/>
      <c r="BF1" s="138"/>
      <c r="BG1" s="138"/>
      <c r="BH1" s="138"/>
      <c r="BI1" s="138"/>
      <c r="BJ1" s="138"/>
      <c r="BK1" s="138"/>
      <c r="BL1" s="138"/>
      <c r="BM1" s="138"/>
      <c r="BN1" s="138"/>
      <c r="CR1" s="140" t="s">
        <v>835</v>
      </c>
      <c r="CS1" s="141"/>
      <c r="CT1" s="141"/>
      <c r="CU1" s="141"/>
      <c r="CV1" s="141"/>
      <c r="CW1" s="141"/>
      <c r="CX1" s="141"/>
      <c r="CY1" s="141"/>
      <c r="CZ1" s="141"/>
      <c r="DA1" s="141"/>
      <c r="DB1" s="141"/>
      <c r="DC1" s="141"/>
      <c r="DD1" s="141"/>
      <c r="DE1" s="10"/>
      <c r="DF1" s="10"/>
      <c r="DG1" s="10"/>
      <c r="DH1" s="10"/>
      <c r="DI1" s="10"/>
      <c r="DJ1" s="10"/>
      <c r="DK1" s="10"/>
      <c r="DL1" s="10"/>
      <c r="DM1" s="10"/>
      <c r="DN1" s="10"/>
    </row>
    <row r="2" spans="1:118" x14ac:dyDescent="0.25"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</row>
    <row r="3" spans="1:118" x14ac:dyDescent="0.25">
      <c r="A3" s="2" t="s">
        <v>21</v>
      </c>
      <c r="B3" s="2" t="s">
        <v>6</v>
      </c>
      <c r="C3" s="2" t="s">
        <v>9</v>
      </c>
      <c r="D3" s="2" t="s">
        <v>49</v>
      </c>
      <c r="E3" s="2" t="s">
        <v>50</v>
      </c>
      <c r="CN3" s="5" t="s">
        <v>51</v>
      </c>
      <c r="CO3" s="5" t="s">
        <v>11</v>
      </c>
      <c r="CP3" s="5" t="s">
        <v>52</v>
      </c>
      <c r="CR3" s="11" t="s">
        <v>13</v>
      </c>
      <c r="CS3" s="11" t="s">
        <v>21</v>
      </c>
      <c r="CT3" s="11" t="s">
        <v>18</v>
      </c>
      <c r="CU3" s="11" t="s">
        <v>59</v>
      </c>
      <c r="CV3" s="11" t="s">
        <v>180</v>
      </c>
      <c r="CW3" s="11" t="s">
        <v>19</v>
      </c>
      <c r="CX3" s="11" t="s">
        <v>836</v>
      </c>
      <c r="CY3" s="11" t="s">
        <v>837</v>
      </c>
      <c r="CZ3" s="11" t="s">
        <v>838</v>
      </c>
      <c r="DA3" s="11" t="s">
        <v>839</v>
      </c>
      <c r="DB3" s="10"/>
      <c r="DC3" s="13" t="s">
        <v>840</v>
      </c>
      <c r="DD3" s="10"/>
      <c r="DE3" s="10"/>
      <c r="DF3" s="13" t="s">
        <v>841</v>
      </c>
      <c r="DG3" s="10"/>
      <c r="DH3" s="10"/>
      <c r="DI3" s="13" t="s">
        <v>842</v>
      </c>
      <c r="DJ3" s="10"/>
      <c r="DK3" s="13" t="s">
        <v>843</v>
      </c>
      <c r="DL3" s="10"/>
      <c r="DM3" s="16" t="s">
        <v>844</v>
      </c>
      <c r="DN3" s="10"/>
    </row>
    <row r="4" spans="1:118" x14ac:dyDescent="0.25">
      <c r="A4" s="1" t="s">
        <v>53</v>
      </c>
      <c r="B4" s="1" t="s">
        <v>54</v>
      </c>
      <c r="C4" s="1" t="s">
        <v>55</v>
      </c>
      <c r="D4" s="1" t="s">
        <v>56</v>
      </c>
      <c r="E4" s="1" t="s">
        <v>57</v>
      </c>
      <c r="M4" s="3" t="s">
        <v>21</v>
      </c>
      <c r="N4" s="3" t="s">
        <v>58</v>
      </c>
      <c r="O4" s="3" t="s">
        <v>13</v>
      </c>
      <c r="P4" s="3" t="s">
        <v>18</v>
      </c>
      <c r="Q4" s="3" t="s">
        <v>59</v>
      </c>
      <c r="R4" s="3" t="s">
        <v>19</v>
      </c>
      <c r="S4" s="3" t="s">
        <v>60</v>
      </c>
      <c r="T4" s="3" t="s">
        <v>20</v>
      </c>
      <c r="U4" s="4"/>
      <c r="V4" s="3" t="s">
        <v>61</v>
      </c>
      <c r="W4" s="3" t="s">
        <v>62</v>
      </c>
      <c r="X4" s="2" t="s">
        <v>58</v>
      </c>
      <c r="Y4" s="2" t="s">
        <v>13</v>
      </c>
      <c r="AO4" s="3" t="s">
        <v>58</v>
      </c>
      <c r="AP4" s="3" t="s">
        <v>13</v>
      </c>
      <c r="AR4" s="2" t="s">
        <v>63</v>
      </c>
      <c r="AS4" s="3" t="s">
        <v>64</v>
      </c>
      <c r="AT4" s="3" t="s">
        <v>65</v>
      </c>
      <c r="AU4" s="2" t="s">
        <v>66</v>
      </c>
      <c r="AW4" s="2" t="s">
        <v>63</v>
      </c>
      <c r="AX4" s="3" t="s">
        <v>64</v>
      </c>
      <c r="AY4" s="3" t="s">
        <v>65</v>
      </c>
      <c r="AZ4" s="2" t="s">
        <v>66</v>
      </c>
      <c r="BB4" s="2" t="s">
        <v>63</v>
      </c>
      <c r="BC4" s="3" t="s">
        <v>64</v>
      </c>
      <c r="BD4" s="3" t="s">
        <v>65</v>
      </c>
      <c r="BE4" s="2" t="s">
        <v>66</v>
      </c>
      <c r="BG4" s="2" t="s">
        <v>63</v>
      </c>
      <c r="BH4" s="3" t="s">
        <v>64</v>
      </c>
      <c r="BI4" s="3" t="s">
        <v>65</v>
      </c>
      <c r="BJ4" s="2" t="s">
        <v>66</v>
      </c>
      <c r="BL4" s="2" t="s">
        <v>63</v>
      </c>
      <c r="BM4" s="3" t="s">
        <v>64</v>
      </c>
      <c r="BN4" s="3" t="s">
        <v>65</v>
      </c>
      <c r="BO4" s="2" t="s">
        <v>66</v>
      </c>
      <c r="CN4" s="6">
        <v>1</v>
      </c>
      <c r="CO4" s="6" t="s">
        <v>857</v>
      </c>
      <c r="CP4" s="6" t="s">
        <v>67</v>
      </c>
      <c r="CR4" s="12" t="str">
        <f>A30</f>
        <v>MEXICO</v>
      </c>
      <c r="CS4" s="12" t="s">
        <v>53</v>
      </c>
      <c r="CT4" s="12">
        <f t="shared" ref="CT4:CW7" si="0">F30</f>
        <v>0</v>
      </c>
      <c r="CU4" s="12">
        <f t="shared" si="0"/>
        <v>0</v>
      </c>
      <c r="CV4" s="12">
        <f t="shared" si="0"/>
        <v>0</v>
      </c>
      <c r="CW4" s="12">
        <f t="shared" si="0"/>
        <v>0</v>
      </c>
      <c r="CX4" s="12">
        <f t="shared" ref="CX4:CX51" si="1">IF(CR4="","",CU4+CT4/100+ROW()/100000000)</f>
        <v>4.0000000000000001E-8</v>
      </c>
      <c r="CY4" s="12">
        <f t="shared" ref="CY4:CY51" si="2">IF(CR4="","",RANK(CX4,$CX$4:$CX$51,0))</f>
        <v>48</v>
      </c>
      <c r="CZ4" s="12">
        <f t="shared" ref="CZ4:CZ51" si="3">IF(CR4="","",-CT4-CW4/100-CU4/10000+ROW()/100000000)</f>
        <v>4.0000000000000001E-8</v>
      </c>
      <c r="DA4" s="12">
        <f t="shared" ref="DA4:DA51" si="4">IF(CR4="","",RANK(CZ4,$CZ$4:$CZ$51,0))</f>
        <v>48</v>
      </c>
      <c r="DB4" s="10"/>
      <c r="DC4" s="13" t="s">
        <v>13</v>
      </c>
      <c r="DD4" s="13" t="s">
        <v>59</v>
      </c>
      <c r="DE4" s="10"/>
      <c r="DF4" s="13" t="s">
        <v>13</v>
      </c>
      <c r="DG4" s="13" t="s">
        <v>60</v>
      </c>
      <c r="DH4" s="10"/>
      <c r="DI4" s="15" t="str">
        <f>IF(Quiniela!D147="","",Quiniela!D147)</f>
        <v/>
      </c>
      <c r="DJ4" s="10"/>
      <c r="DK4" s="14" t="str">
        <f>IF(Quiniela!D141="","",Quiniela!D141)</f>
        <v/>
      </c>
      <c r="DL4" s="10"/>
      <c r="DM4" s="16">
        <f>SUM(Quiniela!E17:E22,Quiniela!I17:I22,Quiniela!E25:E30,Quiniela!I25:I30,Quiniela!E33:E38,Quiniela!I33:I38,Quiniela!E41:E46,Quiniela!I41:I46,Quiniela!E49:E54,Quiniela!I49:I54,Quiniela!E57:E62,Quiniela!I57:I62,Quiniela!E65:E70,Quiniela!I65:I70,Quiniela!E73:E78,Quiniela!I73:I78,Quiniela!E81:E86,Quiniela!I81:I86,Quiniela!E89:E94,Quiniela!I89:I94,Quiniela!E97:E102,Quiniela!I97:I102,Quiniela!E105:E110,Quiniela!I105:I110)</f>
        <v>0</v>
      </c>
      <c r="DN4" s="10"/>
    </row>
    <row r="5" spans="1:118" x14ac:dyDescent="0.25">
      <c r="A5" s="1" t="s">
        <v>68</v>
      </c>
      <c r="B5" s="1" t="s">
        <v>69</v>
      </c>
      <c r="C5" s="1" t="s">
        <v>70</v>
      </c>
      <c r="D5" s="1" t="s">
        <v>71</v>
      </c>
      <c r="E5" s="1" t="s">
        <v>72</v>
      </c>
      <c r="M5" s="1" t="s">
        <v>53</v>
      </c>
      <c r="N5" s="1" t="s">
        <v>73</v>
      </c>
      <c r="O5" s="1" t="str">
        <f>IF(COUNT(Quiniela!$E$17:$E$22,Quiniela!$I$17:$I$22)=0,"",INDEX($A$30:$A$33,MATCH(3,$K$30:$K$33,0)))</f>
        <v/>
      </c>
      <c r="P5" s="1" t="str">
        <f>IF(COUNT(Quiniela!$E$17:$E$22,Quiniela!$I$17:$I$22)=0,"",INDEX($F$30:$F$33,MATCH(3,$K$30:$K$33,0)))</f>
        <v/>
      </c>
      <c r="Q5" s="1" t="str">
        <f>IF(COUNT(Quiniela!$E$17:$E$22,Quiniela!$I$17:$I$22)=0,"",INDEX($G$30:$G$33,MATCH(3,$K$30:$K$33,0)))</f>
        <v/>
      </c>
      <c r="R5" s="1" t="str">
        <f>IF(COUNT(Quiniela!$E$17:$E$22,Quiniela!$I$17:$I$22)=0,"",INDEX($I$30:$I$33,MATCH(3,$K$30:$K$33,0)))</f>
        <v/>
      </c>
      <c r="S5" s="1" t="str">
        <f>IF(COUNT(Quiniela!$E$17:$E$22,Quiniela!$I$17:$I$22)=0,"",P5+R5/100+Q5/10000+0.0000012)</f>
        <v/>
      </c>
      <c r="T5" s="1" t="str">
        <f>IF(COUNT(Quiniela!$E$17:$E$22,Quiniela!$I$17:$I$22)=0,"",RANK(S5,$S$5:$S$16,0))</f>
        <v/>
      </c>
      <c r="V5" s="1">
        <v>1</v>
      </c>
      <c r="W5" s="1" t="str">
        <f>IF(COUNT(Quiniela!$E$17:$E$22,Quiniela!$I$17:$I$22)=0,"",INDEX($M$5:$M$16,MATCH(V5,$T$5:$T$16,0)))</f>
        <v/>
      </c>
      <c r="X5" s="1" t="str">
        <f t="shared" ref="X5:X12" si="5">IFERROR(INDEX($N$5:$N$16,MATCH(V5,$T$5:$T$16,0)),"")</f>
        <v/>
      </c>
      <c r="Y5" s="1" t="str">
        <f t="shared" ref="Y5:Y12" si="6">IFERROR(INDEX($O$5:$O$16,MATCH(V5,$T$5:$T$16,0)),"")</f>
        <v/>
      </c>
      <c r="AO5" s="1" t="s">
        <v>74</v>
      </c>
      <c r="AP5" s="1" t="str">
        <f>IF(COUNT(Quiniela!$E$17:$E$22,Quiniela!$I$17:$I$22)=0,"",INDEX($A$30:$A$33,MATCH(1,$K$30:$K$33,0)))</f>
        <v/>
      </c>
      <c r="AQ5" t="s">
        <v>75</v>
      </c>
      <c r="AR5" s="1">
        <v>73</v>
      </c>
      <c r="AS5" s="1" t="str">
        <f>INDEX($AP$5:$AP$40,MATCH("2A",$AO$5:$AO$40,0))</f>
        <v/>
      </c>
      <c r="AT5" s="1" t="str">
        <f>INDEX($AP$5:$AP$40,MATCH("2B",$AO$5:$AO$40,0))</f>
        <v/>
      </c>
      <c r="AU5" s="1" t="str">
        <f>IF(Quiniela!H113="","",Quiniela!H113)</f>
        <v/>
      </c>
      <c r="AV5" t="s">
        <v>76</v>
      </c>
      <c r="AW5" s="1">
        <v>89</v>
      </c>
      <c r="AX5" s="1" t="str">
        <f>INDEX($AU$5:$AU$20,MATCH(74,$AR$5:$AR$20,0))</f>
        <v/>
      </c>
      <c r="AY5" s="1" t="str">
        <f>INDEX($AU$5:$AU$20,MATCH(77,$AR$5:$AR$20,0))</f>
        <v/>
      </c>
      <c r="AZ5" s="1" t="str">
        <f>IF(Quiniela!H131="","",Quiniela!H131)</f>
        <v/>
      </c>
      <c r="BB5" s="1">
        <v>97</v>
      </c>
      <c r="BC5" s="1" t="str">
        <f>INDEX($AZ$5:$AZ$12,MATCH(89,$AW$5:$AW$12,0))</f>
        <v/>
      </c>
      <c r="BD5" s="1" t="str">
        <f>INDEX($AZ$5:$AZ$12,MATCH(90,$AW$5:$AW$12,0))</f>
        <v/>
      </c>
      <c r="BE5" s="1" t="str">
        <f>IF(Quiniela!H141="","",Quiniela!H141)</f>
        <v/>
      </c>
      <c r="BG5" s="1">
        <v>101</v>
      </c>
      <c r="BH5" s="1" t="str">
        <f>INDEX($BE$5:$BE$8,MATCH(97,$BB$5:$BB$8,0))</f>
        <v/>
      </c>
      <c r="BI5" s="1" t="str">
        <f>INDEX($BE$5:$BE$8,MATCH(98,$BB$5:$BB$8,0))</f>
        <v/>
      </c>
      <c r="BJ5" s="1" t="str">
        <f>IF(Quiniela!H147="","",Quiniela!H147)</f>
        <v/>
      </c>
      <c r="BL5" s="1">
        <v>104</v>
      </c>
      <c r="BM5" s="1" t="str">
        <f>BJ5</f>
        <v/>
      </c>
      <c r="BN5" s="1" t="str">
        <f>BJ6</f>
        <v/>
      </c>
      <c r="BO5" s="1" t="str">
        <f>IF(Quiniela!H151="","",Quiniela!H151)</f>
        <v/>
      </c>
      <c r="CN5" s="6">
        <v>2</v>
      </c>
      <c r="CO5" s="6" t="s">
        <v>858</v>
      </c>
      <c r="CP5" s="6" t="s">
        <v>67</v>
      </c>
      <c r="CR5" s="12" t="str">
        <f>A31</f>
        <v>SUDAFRICA</v>
      </c>
      <c r="CS5" s="12" t="s">
        <v>53</v>
      </c>
      <c r="CT5" s="12">
        <f t="shared" si="0"/>
        <v>0</v>
      </c>
      <c r="CU5" s="12">
        <f t="shared" si="0"/>
        <v>0</v>
      </c>
      <c r="CV5" s="12">
        <f t="shared" si="0"/>
        <v>0</v>
      </c>
      <c r="CW5" s="12">
        <f t="shared" si="0"/>
        <v>0</v>
      </c>
      <c r="CX5" s="12">
        <f t="shared" si="1"/>
        <v>4.9999999999999998E-8</v>
      </c>
      <c r="CY5" s="12">
        <f t="shared" si="2"/>
        <v>47</v>
      </c>
      <c r="CZ5" s="12">
        <f t="shared" si="3"/>
        <v>4.9999999999999998E-8</v>
      </c>
      <c r="DA5" s="12">
        <f t="shared" si="4"/>
        <v>47</v>
      </c>
      <c r="DB5" s="10"/>
      <c r="DC5" s="14" t="str">
        <f>IF(COUNT($CT$4:$CT$51)=0,"",INDEX($CR$4:$CR$51,MATCH(ROWS($DC$5:DC5),$CY$4:$CY$51,0)))</f>
        <v>PANAMA</v>
      </c>
      <c r="DD5" s="14">
        <f t="shared" ref="DD5:DD10" si="7">IF(DC5="","",INDEX($CU$4:$CU$51,MATCH(DC5,$CR$4:$CR$51,0)))</f>
        <v>0</v>
      </c>
      <c r="DE5" s="10"/>
      <c r="DF5" s="14" t="str">
        <f>IF(COUNT($CT$4:$CT$51)=0,"",INDEX($CR$4:$CR$51,MATCH(ROWS($DF$5:DF5),$DA$4:$DA$51,0)))</f>
        <v>PANAMA</v>
      </c>
      <c r="DG5" s="14">
        <f t="shared" ref="DG5:DG10" si="8">IF(DF5="","",INDEX($CZ$4:$CZ$51,MATCH(DF5,$CR$4:$CR$51,0)))</f>
        <v>5.0999999999999999E-7</v>
      </c>
      <c r="DH5" s="10"/>
      <c r="DI5" s="14" t="str">
        <f>IF(Quiniela!F147="","",Quiniela!F147)</f>
        <v/>
      </c>
      <c r="DJ5" s="10"/>
      <c r="DK5" s="14" t="str">
        <f>IF(Quiniela!F141="","",Quiniela!F141)</f>
        <v/>
      </c>
      <c r="DL5" s="10"/>
      <c r="DM5" s="10"/>
      <c r="DN5" s="10"/>
    </row>
    <row r="6" spans="1:118" x14ac:dyDescent="0.25">
      <c r="A6" s="1" t="s">
        <v>77</v>
      </c>
      <c r="B6" s="1" t="s">
        <v>78</v>
      </c>
      <c r="C6" s="1" t="s">
        <v>79</v>
      </c>
      <c r="D6" s="1" t="s">
        <v>80</v>
      </c>
      <c r="E6" s="1" t="s">
        <v>81</v>
      </c>
      <c r="M6" s="1" t="s">
        <v>68</v>
      </c>
      <c r="N6" s="1" t="s">
        <v>82</v>
      </c>
      <c r="O6" s="1" t="str">
        <f>IF(COUNT(Quiniela!$E$25:$E$30,Quiniela!$I$25:$I$30)=0,"",INDEX($A$44:$A$47,MATCH(3,$K$44:$K$47,0)))</f>
        <v/>
      </c>
      <c r="P6" s="1" t="str">
        <f>IF(COUNT(Quiniela!$E$25:$E$30,Quiniela!$I$25:$I$30)=0,"",INDEX($F$44:$F$47,MATCH(3,$K$44:$K$47,0)))</f>
        <v/>
      </c>
      <c r="Q6" s="1" t="str">
        <f>IF(COUNT(Quiniela!$E$25:$E$30,Quiniela!$I$25:$I$30)=0,"",INDEX($G$44:$G$47,MATCH(3,$K$44:$K$47,0)))</f>
        <v/>
      </c>
      <c r="R6" s="1" t="str">
        <f>IF(COUNT(Quiniela!$E$25:$E$30,Quiniela!$I$25:$I$30)=0,"",INDEX($I$44:$I$47,MATCH(3,$K$44:$K$47,0)))</f>
        <v/>
      </c>
      <c r="S6" s="1" t="str">
        <f>IF(COUNT(Quiniela!$E$25:$E$30,Quiniela!$I$25:$I$30)=0,"",P6+R6/100+Q6/10000+0.0000011)</f>
        <v/>
      </c>
      <c r="T6" s="1" t="str">
        <f>IF(COUNT(Quiniela!$E$25:$E$30,Quiniela!$I$25:$I$30)=0,"",RANK(S6,$S$5:$S$16,0))</f>
        <v/>
      </c>
      <c r="V6" s="1">
        <v>2</v>
      </c>
      <c r="W6" s="1" t="str">
        <f>IF(COUNT(Quiniela!$E$25:$E$30,Quiniela!$I$25:$I$30)=0,"",INDEX($M$5:$M$16,MATCH(V6,$T$5:$T$16,0)))</f>
        <v/>
      </c>
      <c r="X6" s="1" t="str">
        <f t="shared" si="5"/>
        <v/>
      </c>
      <c r="Y6" s="1" t="str">
        <f t="shared" si="6"/>
        <v/>
      </c>
      <c r="AO6" s="1" t="s">
        <v>75</v>
      </c>
      <c r="AP6" s="1" t="str">
        <f>IF(COUNT(Quiniela!$E$17:$E$22,Quiniela!$I$17:$I$22)=0,"",INDEX($A$30:$A$33,MATCH(2,$K$30:$K$33,0)))</f>
        <v/>
      </c>
      <c r="AQ6" t="s">
        <v>83</v>
      </c>
      <c r="AR6" s="1">
        <v>74</v>
      </c>
      <c r="AS6" s="1" t="str">
        <f>INDEX($AP$5:$AP$40,MATCH("1E",$AO$5:$AO$40,0))</f>
        <v/>
      </c>
      <c r="AT6" s="1" t="str">
        <f>AJ15</f>
        <v/>
      </c>
      <c r="AU6" s="1" t="str">
        <f>IF(Quiniela!H114="","",Quiniela!H114)</f>
        <v/>
      </c>
      <c r="AV6" t="e">
        <f>AB15</f>
        <v>#VALUE!</v>
      </c>
      <c r="AW6" s="1">
        <v>90</v>
      </c>
      <c r="AX6" s="1" t="str">
        <f>INDEX($AU$5:$AU$20,MATCH(73,$AR$5:$AR$20,0))</f>
        <v/>
      </c>
      <c r="AY6" s="1" t="str">
        <f>INDEX($AU$5:$AU$20,MATCH(75,$AR$5:$AR$20,0))</f>
        <v/>
      </c>
      <c r="AZ6" s="1" t="str">
        <f>IF(Quiniela!H132="","",Quiniela!H132)</f>
        <v/>
      </c>
      <c r="BB6" s="1">
        <v>98</v>
      </c>
      <c r="BC6" s="1" t="str">
        <f>INDEX($AZ$5:$AZ$12,MATCH(93,$AW$5:$AW$12,0))</f>
        <v/>
      </c>
      <c r="BD6" s="1" t="str">
        <f>INDEX($AZ$5:$AZ$12,MATCH(94,$AW$5:$AW$12,0))</f>
        <v/>
      </c>
      <c r="BE6" s="1" t="str">
        <f>IF(Quiniela!H142="","",Quiniela!H142)</f>
        <v/>
      </c>
      <c r="BG6" s="1">
        <v>102</v>
      </c>
      <c r="BH6" s="1" t="str">
        <f>INDEX($BE$5:$BE$8,MATCH(99,$BB$5:$BB$8,0))</f>
        <v/>
      </c>
      <c r="BI6" s="1" t="str">
        <f>INDEX($BE$5:$BE$8,MATCH(100,$BB$5:$BB$8,0))</f>
        <v/>
      </c>
      <c r="BJ6" s="1" t="str">
        <f>IF(Quiniela!H148="","",Quiniela!H148)</f>
        <v/>
      </c>
      <c r="CN6" s="6">
        <v>3</v>
      </c>
      <c r="CO6" s="6" t="s">
        <v>859</v>
      </c>
      <c r="CP6" s="6" t="s">
        <v>67</v>
      </c>
      <c r="CR6" s="12" t="str">
        <f>A32</f>
        <v>COREA DEL SUR</v>
      </c>
      <c r="CS6" s="12" t="s">
        <v>53</v>
      </c>
      <c r="CT6" s="12">
        <f t="shared" si="0"/>
        <v>0</v>
      </c>
      <c r="CU6" s="12">
        <f t="shared" si="0"/>
        <v>0</v>
      </c>
      <c r="CV6" s="12">
        <f t="shared" si="0"/>
        <v>0</v>
      </c>
      <c r="CW6" s="12">
        <f t="shared" si="0"/>
        <v>0</v>
      </c>
      <c r="CX6" s="12">
        <f t="shared" si="1"/>
        <v>5.9999999999999995E-8</v>
      </c>
      <c r="CY6" s="12">
        <f t="shared" si="2"/>
        <v>46</v>
      </c>
      <c r="CZ6" s="12">
        <f t="shared" si="3"/>
        <v>5.9999999999999995E-8</v>
      </c>
      <c r="DA6" s="12">
        <f t="shared" si="4"/>
        <v>46</v>
      </c>
      <c r="DB6" s="10"/>
      <c r="DC6" s="14" t="str">
        <f>IF(COUNT($CT$4:$CT$51)=0,"",INDEX($CR$4:$CR$51,MATCH(ROWS($DC$5:DC6),$CY$4:$CY$51,0)))</f>
        <v>GHANA</v>
      </c>
      <c r="DD6" s="14">
        <f t="shared" si="7"/>
        <v>0</v>
      </c>
      <c r="DE6" s="10"/>
      <c r="DF6" s="14" t="str">
        <f>IF(COUNT($CT$4:$CT$51)=0,"",INDEX($CR$4:$CR$51,MATCH(ROWS($DF$5:DF6),$DA$4:$DA$51,0)))</f>
        <v>GHANA</v>
      </c>
      <c r="DG6" s="14">
        <f t="shared" si="8"/>
        <v>4.9999999999999998E-7</v>
      </c>
      <c r="DH6" s="10"/>
      <c r="DI6" s="14" t="str">
        <f>IF(Quiniela!D148="","",Quiniela!D148)</f>
        <v/>
      </c>
      <c r="DJ6" s="10"/>
      <c r="DK6" s="14" t="str">
        <f>IF(Quiniela!D142="","",Quiniela!D142)</f>
        <v/>
      </c>
      <c r="DL6" s="10"/>
      <c r="DM6" s="10"/>
      <c r="DN6" s="10"/>
    </row>
    <row r="7" spans="1:118" x14ac:dyDescent="0.25">
      <c r="A7" s="1" t="s">
        <v>84</v>
      </c>
      <c r="B7" s="1" t="s">
        <v>85</v>
      </c>
      <c r="C7" s="1" t="s">
        <v>86</v>
      </c>
      <c r="D7" s="1" t="s">
        <v>87</v>
      </c>
      <c r="E7" s="1" t="s">
        <v>88</v>
      </c>
      <c r="M7" s="1" t="s">
        <v>77</v>
      </c>
      <c r="N7" s="1" t="s">
        <v>89</v>
      </c>
      <c r="O7" s="1" t="str">
        <f>IF(COUNT(Quiniela!$E$33:$E$38,Quiniela!$I$33:$I$38)=0,"",INDEX($A$58:$A$61,MATCH(3,$K$58:$K$61,0)))</f>
        <v/>
      </c>
      <c r="P7" s="1" t="str">
        <f>IF(COUNT(Quiniela!$E$33:$E$38,Quiniela!$I$33:$I$38)=0,"",INDEX($F$58:$F$61,MATCH(3,$K$58:$K$61,0)))</f>
        <v/>
      </c>
      <c r="Q7" s="1" t="str">
        <f>IF(COUNT(Quiniela!$E$33:$E$38,Quiniela!$I$33:$I$38)=0,"",INDEX($G$58:$G$61,MATCH(3,$K$58:$K$61,0)))</f>
        <v/>
      </c>
      <c r="R7" s="1" t="str">
        <f>IF(COUNT(Quiniela!$E$33:$E$38,Quiniela!$I$33:$I$38)=0,"",INDEX($I$58:$I$61,MATCH(3,$K$58:$K$61,0)))</f>
        <v/>
      </c>
      <c r="S7" s="1" t="str">
        <f>IF(COUNT(Quiniela!$E$33:$E$38,Quiniela!$I$33:$I$38)=0,"",P7+R7/100+Q7/10000+0.000001)</f>
        <v/>
      </c>
      <c r="T7" s="1" t="str">
        <f>IF(COUNT(Quiniela!$E$33:$E$38,Quiniela!$I$33:$I$38)=0,"",RANK(S7,$S$5:$S$16,0))</f>
        <v/>
      </c>
      <c r="V7" s="1">
        <v>3</v>
      </c>
      <c r="W7" s="1" t="str">
        <f>IF(COUNT(Quiniela!$E$33:$E$38,Quiniela!$I$33:$I$38)=0,"",INDEX($M$5:$M$16,MATCH(V7,$T$5:$T$16,0)))</f>
        <v/>
      </c>
      <c r="X7" s="1" t="str">
        <f t="shared" si="5"/>
        <v/>
      </c>
      <c r="Y7" s="1" t="str">
        <f t="shared" si="6"/>
        <v/>
      </c>
      <c r="AO7" s="1" t="s">
        <v>73</v>
      </c>
      <c r="AP7" s="1" t="str">
        <f>IF(COUNT(Quiniela!$E$17:$E$22,Quiniela!$I$17:$I$22)=0,"",INDEX($A$30:$A$33,MATCH(3,$K$30:$K$33,0)))</f>
        <v/>
      </c>
      <c r="AQ7" t="s">
        <v>90</v>
      </c>
      <c r="AR7" s="1">
        <v>75</v>
      </c>
      <c r="AS7" s="1" t="str">
        <f>INDEX($AP$5:$AP$40,MATCH("1F",$AO$5:$AO$40,0))</f>
        <v/>
      </c>
      <c r="AT7" s="1" t="str">
        <f>INDEX($AP$5:$AP$40,MATCH("2C",$AO$5:$AO$40,0))</f>
        <v/>
      </c>
      <c r="AU7" s="1" t="str">
        <f>IF(Quiniela!H115="","",Quiniela!H115)</f>
        <v/>
      </c>
      <c r="AV7" t="s">
        <v>91</v>
      </c>
      <c r="AW7" s="1">
        <v>91</v>
      </c>
      <c r="AX7" s="1" t="str">
        <f>INDEX($AU$5:$AU$20,MATCH(76,$AR$5:$AR$20,0))</f>
        <v/>
      </c>
      <c r="AY7" s="1" t="str">
        <f>INDEX($AU$5:$AU$20,MATCH(78,$AR$5:$AR$20,0))</f>
        <v/>
      </c>
      <c r="AZ7" s="1" t="str">
        <f>IF(Quiniela!H133="","",Quiniela!H133)</f>
        <v/>
      </c>
      <c r="BB7" s="1">
        <v>99</v>
      </c>
      <c r="BC7" s="1" t="str">
        <f>INDEX($AZ$5:$AZ$12,MATCH(91,$AW$5:$AW$12,0))</f>
        <v/>
      </c>
      <c r="BD7" s="1" t="str">
        <f>INDEX($AZ$5:$AZ$12,MATCH(92,$AW$5:$AW$12,0))</f>
        <v/>
      </c>
      <c r="BE7" s="1" t="str">
        <f>IF(Quiniela!H143="","",Quiniela!H143)</f>
        <v/>
      </c>
      <c r="CN7" s="6">
        <v>4</v>
      </c>
      <c r="CO7" s="6" t="s">
        <v>860</v>
      </c>
      <c r="CP7" s="6" t="s">
        <v>67</v>
      </c>
      <c r="CR7" s="12" t="str">
        <f>A33</f>
        <v>CHEQUIA</v>
      </c>
      <c r="CS7" s="12" t="s">
        <v>53</v>
      </c>
      <c r="CT7" s="12">
        <f t="shared" si="0"/>
        <v>0</v>
      </c>
      <c r="CU7" s="12">
        <f t="shared" si="0"/>
        <v>0</v>
      </c>
      <c r="CV7" s="12">
        <f t="shared" si="0"/>
        <v>0</v>
      </c>
      <c r="CW7" s="12">
        <f t="shared" si="0"/>
        <v>0</v>
      </c>
      <c r="CX7" s="12">
        <f t="shared" si="1"/>
        <v>7.0000000000000005E-8</v>
      </c>
      <c r="CY7" s="12">
        <f t="shared" si="2"/>
        <v>45</v>
      </c>
      <c r="CZ7" s="12">
        <f t="shared" si="3"/>
        <v>7.0000000000000005E-8</v>
      </c>
      <c r="DA7" s="12">
        <f t="shared" si="4"/>
        <v>45</v>
      </c>
      <c r="DB7" s="10"/>
      <c r="DC7" s="14" t="str">
        <f>IF(COUNT($CT$4:$CT$51)=0,"",INDEX($CR$4:$CR$51,MATCH(ROWS($DC$5:DC7),$CY$4:$CY$51,0)))</f>
        <v>CROACIA</v>
      </c>
      <c r="DD7" s="14">
        <f t="shared" si="7"/>
        <v>0</v>
      </c>
      <c r="DE7" s="10"/>
      <c r="DF7" s="14" t="str">
        <f>IF(COUNT($CT$4:$CT$51)=0,"",INDEX($CR$4:$CR$51,MATCH(ROWS($DF$5:DF7),$DA$4:$DA$51,0)))</f>
        <v>CROACIA</v>
      </c>
      <c r="DG7" s="14">
        <f t="shared" si="8"/>
        <v>4.8999999999999997E-7</v>
      </c>
      <c r="DH7" s="10"/>
      <c r="DI7" s="14" t="str">
        <f>IF(Quiniela!F148="","",Quiniela!F148)</f>
        <v/>
      </c>
      <c r="DJ7" s="10"/>
      <c r="DK7" s="14" t="str">
        <f>IF(Quiniela!F142="","",Quiniela!F142)</f>
        <v/>
      </c>
      <c r="DL7" s="10"/>
      <c r="DM7" s="10"/>
      <c r="DN7" s="10"/>
    </row>
    <row r="8" spans="1:118" x14ac:dyDescent="0.25">
      <c r="A8" s="1" t="s">
        <v>17</v>
      </c>
      <c r="B8" s="1" t="s">
        <v>92</v>
      </c>
      <c r="C8" s="1" t="s">
        <v>93</v>
      </c>
      <c r="D8" s="1" t="s">
        <v>94</v>
      </c>
      <c r="E8" s="1" t="s">
        <v>95</v>
      </c>
      <c r="M8" s="1" t="s">
        <v>84</v>
      </c>
      <c r="N8" s="1" t="s">
        <v>96</v>
      </c>
      <c r="O8" s="1" t="str">
        <f>IF(COUNT(Quiniela!$E$41:$E$46,Quiniela!$I$41:$I$46)=0,"",INDEX($A$72:$A$75,MATCH(3,$K$72:$K$75,0)))</f>
        <v/>
      </c>
      <c r="P8" s="1" t="str">
        <f>IF(COUNT(Quiniela!$E$41:$E$46,Quiniela!$I$41:$I$46)=0,"",INDEX($F$72:$F$75,MATCH(3,$K$72:$K$75,0)))</f>
        <v/>
      </c>
      <c r="Q8" s="1" t="str">
        <f>IF(COUNT(Quiniela!$E$41:$E$46,Quiniela!$I$41:$I$46)=0,"",INDEX($G$72:$G$75,MATCH(3,$K$72:$K$75,0)))</f>
        <v/>
      </c>
      <c r="R8" s="1" t="str">
        <f>IF(COUNT(Quiniela!$E$41:$E$46,Quiniela!$I$41:$I$46)=0,"",INDEX($I$72:$I$75,MATCH(3,$K$72:$K$75,0)))</f>
        <v/>
      </c>
      <c r="S8" s="1" t="str">
        <f>IF(COUNT(Quiniela!$E$41:$E$46,Quiniela!$I$41:$I$46)=0,"",P8+R8/100+Q8/10000+0.0000009)</f>
        <v/>
      </c>
      <c r="T8" s="1" t="str">
        <f>IF(COUNT(Quiniela!$E$41:$E$46,Quiniela!$I$41:$I$46)=0,"",RANK(S8,$S$5:$S$16,0))</f>
        <v/>
      </c>
      <c r="V8" s="1">
        <v>4</v>
      </c>
      <c r="W8" s="1" t="str">
        <f>IF(COUNT(Quiniela!$E$41:$E$46,Quiniela!$I$41:$I$46)=0,"",INDEX($M$5:$M$16,MATCH(V8,$T$5:$T$16,0)))</f>
        <v/>
      </c>
      <c r="X8" s="1" t="str">
        <f t="shared" si="5"/>
        <v/>
      </c>
      <c r="Y8" s="1" t="str">
        <f t="shared" si="6"/>
        <v/>
      </c>
      <c r="AO8" s="1" t="s">
        <v>97</v>
      </c>
      <c r="AP8" s="1" t="str">
        <f>IF(COUNT(Quiniela!$E$25:$E$30,Quiniela!$I$25:$I$30)=0,"",INDEX($A$44:$A$47,MATCH(1,$K$44:$K$47,0)))</f>
        <v/>
      </c>
      <c r="AQ8" t="s">
        <v>98</v>
      </c>
      <c r="AR8" s="1">
        <v>76</v>
      </c>
      <c r="AS8" s="1" t="str">
        <f>INDEX($AP$5:$AP$40,MATCH("1C",$AO$5:$AO$40,0))</f>
        <v/>
      </c>
      <c r="AT8" s="1" t="str">
        <f>INDEX($AP$5:$AP$40,MATCH("2F",$AO$5:$AO$40,0))</f>
        <v/>
      </c>
      <c r="AU8" s="1" t="str">
        <f>IF(Quiniela!H116="","",Quiniela!H116)</f>
        <v/>
      </c>
      <c r="AV8" t="s">
        <v>99</v>
      </c>
      <c r="AW8" s="1">
        <v>92</v>
      </c>
      <c r="AX8" s="1" t="str">
        <f>INDEX($AU$5:$AU$20,MATCH(79,$AR$5:$AR$20,0))</f>
        <v/>
      </c>
      <c r="AY8" s="1" t="str">
        <f>INDEX($AU$5:$AU$20,MATCH(80,$AR$5:$AR$20,0))</f>
        <v/>
      </c>
      <c r="AZ8" s="1" t="str">
        <f>IF(Quiniela!H134="","",Quiniela!H134)</f>
        <v/>
      </c>
      <c r="BB8" s="1">
        <v>100</v>
      </c>
      <c r="BC8" s="1" t="str">
        <f>INDEX($AZ$5:$AZ$12,MATCH(95,$AW$5:$AW$12,0))</f>
        <v/>
      </c>
      <c r="BD8" s="1" t="str">
        <f>INDEX($AZ$5:$AZ$12,MATCH(96,$AW$5:$AW$12,0))</f>
        <v/>
      </c>
      <c r="BE8" s="1" t="str">
        <f>IF(Quiniela!H144="","",Quiniela!H144)</f>
        <v/>
      </c>
      <c r="CN8" s="6">
        <v>5</v>
      </c>
      <c r="CO8" s="6" t="s">
        <v>861</v>
      </c>
      <c r="CP8" s="6" t="s">
        <v>67</v>
      </c>
      <c r="CR8" s="12" t="str">
        <f>A44</f>
        <v>CANADA</v>
      </c>
      <c r="CS8" s="12" t="s">
        <v>68</v>
      </c>
      <c r="CT8" s="12">
        <f t="shared" ref="CT8:CW11" si="9">F44</f>
        <v>0</v>
      </c>
      <c r="CU8" s="12">
        <f t="shared" si="9"/>
        <v>0</v>
      </c>
      <c r="CV8" s="12">
        <f t="shared" si="9"/>
        <v>0</v>
      </c>
      <c r="CW8" s="12">
        <f t="shared" si="9"/>
        <v>0</v>
      </c>
      <c r="CX8" s="12">
        <f t="shared" si="1"/>
        <v>8.0000000000000002E-8</v>
      </c>
      <c r="CY8" s="12">
        <f t="shared" si="2"/>
        <v>44</v>
      </c>
      <c r="CZ8" s="12">
        <f t="shared" si="3"/>
        <v>8.0000000000000002E-8</v>
      </c>
      <c r="DA8" s="12">
        <f t="shared" si="4"/>
        <v>44</v>
      </c>
      <c r="DB8" s="10"/>
      <c r="DC8" s="14" t="str">
        <f>IF(COUNT($CT$4:$CT$51)=0,"",INDEX($CR$4:$CR$51,MATCH(ROWS($DC$5:DC8),$CY$4:$CY$51,0)))</f>
        <v>INGLATERRA</v>
      </c>
      <c r="DD8" s="14">
        <f t="shared" si="7"/>
        <v>0</v>
      </c>
      <c r="DE8" s="10"/>
      <c r="DF8" s="14" t="str">
        <f>IF(COUNT($CT$4:$CT$51)=0,"",INDEX($CR$4:$CR$51,MATCH(ROWS($DF$5:DF8),$DA$4:$DA$51,0)))</f>
        <v>INGLATERRA</v>
      </c>
      <c r="DG8" s="14">
        <f t="shared" si="8"/>
        <v>4.7999999999999996E-7</v>
      </c>
      <c r="DH8" s="10"/>
      <c r="DI8" s="10"/>
      <c r="DJ8" s="10"/>
      <c r="DK8" s="14" t="str">
        <f>IF(Quiniela!D143="","",Quiniela!D143)</f>
        <v/>
      </c>
      <c r="DL8" s="10"/>
      <c r="DM8" s="10"/>
      <c r="DN8" s="10"/>
    </row>
    <row r="9" spans="1:118" x14ac:dyDescent="0.25">
      <c r="A9" s="1" t="s">
        <v>100</v>
      </c>
      <c r="B9" s="1" t="s">
        <v>101</v>
      </c>
      <c r="C9" s="1" t="s">
        <v>102</v>
      </c>
      <c r="D9" s="1" t="s">
        <v>103</v>
      </c>
      <c r="E9" s="1" t="s">
        <v>104</v>
      </c>
      <c r="M9" s="1" t="s">
        <v>17</v>
      </c>
      <c r="N9" s="1" t="s">
        <v>105</v>
      </c>
      <c r="O9" s="1" t="str">
        <f>IF(COUNT(Quiniela!$E$49:$E$54,Quiniela!$I$49:$I$54)=0,"",INDEX($A$86:$A$89,MATCH(3,$K$86:$K$89,0)))</f>
        <v/>
      </c>
      <c r="P9" s="1" t="str">
        <f>IF(COUNT(Quiniela!$E$49:$E$54,Quiniela!$I$49:$I$54)=0,"",INDEX($F$86:$F$89,MATCH(3,$K$86:$K$89,0)))</f>
        <v/>
      </c>
      <c r="Q9" s="1" t="str">
        <f>IF(COUNT(Quiniela!$E$49:$E$54,Quiniela!$I$49:$I$54)=0,"",INDEX($G$86:$G$89,MATCH(3,$K$86:$K$89,0)))</f>
        <v/>
      </c>
      <c r="R9" s="1" t="str">
        <f>IF(COUNT(Quiniela!$E$49:$E$54,Quiniela!$I$49:$I$54)=0,"",INDEX($I$86:$I$89,MATCH(3,$K$86:$K$89,0)))</f>
        <v/>
      </c>
      <c r="S9" s="1" t="str">
        <f>IF(COUNT(Quiniela!$E$49:$E$54,Quiniela!$I$49:$I$54)=0,"",P9+R9/100+Q9/10000+0.0000008)</f>
        <v/>
      </c>
      <c r="T9" s="1" t="str">
        <f>IF(COUNT(Quiniela!$E$49:$E$54,Quiniela!$I$49:$I$54)=0,"",RANK(S9,$S$5:$S$16,0))</f>
        <v/>
      </c>
      <c r="V9" s="1">
        <v>5</v>
      </c>
      <c r="W9" s="1" t="str">
        <f>IF(COUNT(Quiniela!$E$49:$E$54,Quiniela!$I$49:$I$54)=0,"",INDEX($M$5:$M$16,MATCH(V9,$T$5:$T$16,0)))</f>
        <v/>
      </c>
      <c r="X9" s="1" t="str">
        <f t="shared" si="5"/>
        <v/>
      </c>
      <c r="Y9" s="1" t="str">
        <f t="shared" si="6"/>
        <v/>
      </c>
      <c r="AO9" s="1" t="s">
        <v>76</v>
      </c>
      <c r="AP9" s="1" t="str">
        <f>IF(COUNT(Quiniela!$E$25:$E$30,Quiniela!$I$25:$I$30)=0,"",INDEX($A$44:$A$47,MATCH(2,$K$44:$K$47,0)))</f>
        <v/>
      </c>
      <c r="AQ9" t="s">
        <v>106</v>
      </c>
      <c r="AR9" s="1">
        <v>77</v>
      </c>
      <c r="AS9" s="1" t="str">
        <f>INDEX($AP$5:$AP$40,MATCH("1I",$AO$5:$AO$40,0))</f>
        <v/>
      </c>
      <c r="AT9" s="1" t="str">
        <f>AL15</f>
        <v/>
      </c>
      <c r="AU9" s="1" t="str">
        <f>IF(Quiniela!H117="","",Quiniela!H117)</f>
        <v/>
      </c>
      <c r="AV9" t="e">
        <f>AD15</f>
        <v>#VALUE!</v>
      </c>
      <c r="AW9" s="1">
        <v>93</v>
      </c>
      <c r="AX9" s="1" t="str">
        <f>INDEX($AU$5:$AU$20,MATCH(83,$AR$5:$AR$20,0))</f>
        <v/>
      </c>
      <c r="AY9" s="1" t="str">
        <f>INDEX($AU$5:$AU$20,MATCH(84,$AR$5:$AR$20,0))</f>
        <v/>
      </c>
      <c r="AZ9" s="1" t="str">
        <f>IF(Quiniela!H135="","",Quiniela!H135)</f>
        <v/>
      </c>
      <c r="CN9" s="6">
        <v>6</v>
      </c>
      <c r="CO9" s="6" t="s">
        <v>862</v>
      </c>
      <c r="CP9" s="6" t="s">
        <v>67</v>
      </c>
      <c r="CR9" s="12" t="str">
        <f>A45</f>
        <v>BOSNIA Y HERZEGOVINA</v>
      </c>
      <c r="CS9" s="12" t="s">
        <v>68</v>
      </c>
      <c r="CT9" s="12">
        <f t="shared" si="9"/>
        <v>0</v>
      </c>
      <c r="CU9" s="12">
        <f t="shared" si="9"/>
        <v>0</v>
      </c>
      <c r="CV9" s="12">
        <f t="shared" si="9"/>
        <v>0</v>
      </c>
      <c r="CW9" s="12">
        <f t="shared" si="9"/>
        <v>0</v>
      </c>
      <c r="CX9" s="12">
        <f t="shared" si="1"/>
        <v>8.9999999999999999E-8</v>
      </c>
      <c r="CY9" s="12">
        <f t="shared" si="2"/>
        <v>43</v>
      </c>
      <c r="CZ9" s="12">
        <f t="shared" si="3"/>
        <v>8.9999999999999999E-8</v>
      </c>
      <c r="DA9" s="12">
        <f t="shared" si="4"/>
        <v>43</v>
      </c>
      <c r="DB9" s="10"/>
      <c r="DC9" s="14" t="str">
        <f>IF(COUNT($CT$4:$CT$51)=0,"",INDEX($CR$4:$CR$51,MATCH(ROWS($DC$5:DC9),$CY$4:$CY$51,0)))</f>
        <v>COLOMBIA</v>
      </c>
      <c r="DD9" s="14">
        <f t="shared" si="7"/>
        <v>0</v>
      </c>
      <c r="DE9" s="10"/>
      <c r="DF9" s="14" t="str">
        <f>IF(COUNT($CT$4:$CT$51)=0,"",INDEX($CR$4:$CR$51,MATCH(ROWS($DF$5:DF9),$DA$4:$DA$51,0)))</f>
        <v>COLOMBIA</v>
      </c>
      <c r="DG9" s="14">
        <f t="shared" si="8"/>
        <v>4.7E-7</v>
      </c>
      <c r="DH9" s="10"/>
      <c r="DI9" s="10"/>
      <c r="DJ9" s="10"/>
      <c r="DK9" s="14" t="str">
        <f>IF(Quiniela!F143="","",Quiniela!F143)</f>
        <v/>
      </c>
      <c r="DL9" s="10"/>
      <c r="DM9" s="10"/>
      <c r="DN9" s="10"/>
    </row>
    <row r="10" spans="1:118" x14ac:dyDescent="0.25">
      <c r="A10" s="1" t="s">
        <v>15</v>
      </c>
      <c r="B10" s="1" t="s">
        <v>107</v>
      </c>
      <c r="C10" s="1" t="s">
        <v>108</v>
      </c>
      <c r="D10" s="1" t="s">
        <v>109</v>
      </c>
      <c r="E10" s="1" t="s">
        <v>110</v>
      </c>
      <c r="M10" s="1" t="s">
        <v>100</v>
      </c>
      <c r="N10" s="1" t="s">
        <v>111</v>
      </c>
      <c r="O10" s="1" t="str">
        <f>IF(COUNT(Quiniela!$E$57:$E$62,Quiniela!$I$57:$I$62)=0,"",INDEX($A$100:$A$103,MATCH(3,$K$100:$K$103,0)))</f>
        <v/>
      </c>
      <c r="P10" s="1" t="str">
        <f>IF(COUNT(Quiniela!$E$57:$E$62,Quiniela!$I$57:$I$62)=0,"",INDEX($F$100:$F$103,MATCH(3,$K$100:$K$103,0)))</f>
        <v/>
      </c>
      <c r="Q10" s="1" t="str">
        <f>IF(COUNT(Quiniela!$E$57:$E$62,Quiniela!$I$57:$I$62)=0,"",INDEX($G$100:$G$103,MATCH(3,$K$100:$K$103,0)))</f>
        <v/>
      </c>
      <c r="R10" s="1" t="str">
        <f>IF(COUNT(Quiniela!$E$57:$E$62,Quiniela!$I$57:$I$62)=0,"",INDEX($I$100:$I$103,MATCH(3,$K$100:$K$103,0)))</f>
        <v/>
      </c>
      <c r="S10" s="1" t="str">
        <f>IF(COUNT(Quiniela!$E$57:$E$62,Quiniela!$I$57:$I$62)=0,"",P10+R10/100+Q10/10000+0.0000007)</f>
        <v/>
      </c>
      <c r="T10" s="1" t="str">
        <f>IF(COUNT(Quiniela!$E$57:$E$62,Quiniela!$I$57:$I$62)=0,"",RANK(S10,$S$5:$S$16,0))</f>
        <v/>
      </c>
      <c r="V10" s="1">
        <v>6</v>
      </c>
      <c r="W10" s="1" t="str">
        <f>IF(COUNT(Quiniela!$E$57:$E$62,Quiniela!$I$57:$I$62)=0,"",INDEX($M$5:$M$16,MATCH(V10,$T$5:$T$16,0)))</f>
        <v/>
      </c>
      <c r="X10" s="1" t="str">
        <f t="shared" si="5"/>
        <v/>
      </c>
      <c r="Y10" s="1" t="str">
        <f t="shared" si="6"/>
        <v/>
      </c>
      <c r="AO10" s="1" t="s">
        <v>82</v>
      </c>
      <c r="AP10" s="1" t="str">
        <f>IF(COUNT(Quiniela!$E$25:$E$30,Quiniela!$I$25:$I$30)=0,"",INDEX($A$44:$A$47,MATCH(3,$K$44:$K$47,0)))</f>
        <v/>
      </c>
      <c r="AQ10" t="s">
        <v>112</v>
      </c>
      <c r="AR10" s="1">
        <v>78</v>
      </c>
      <c r="AS10" s="1" t="str">
        <f>INDEX($AP$5:$AP$40,MATCH("2E",$AO$5:$AO$40,0))</f>
        <v/>
      </c>
      <c r="AT10" s="1" t="str">
        <f>INDEX($AP$5:$AP$40,MATCH("2I",$AO$5:$AO$40,0))</f>
        <v/>
      </c>
      <c r="AU10" s="1" t="str">
        <f>IF(Quiniela!H118="","",Quiniela!H118)</f>
        <v/>
      </c>
      <c r="AV10" t="s">
        <v>113</v>
      </c>
      <c r="AW10" s="1">
        <v>94</v>
      </c>
      <c r="AX10" s="1" t="str">
        <f>INDEX($AU$5:$AU$20,MATCH(81,$AR$5:$AR$20,0))</f>
        <v/>
      </c>
      <c r="AY10" s="1" t="str">
        <f>INDEX($AU$5:$AU$20,MATCH(82,$AR$5:$AR$20,0))</f>
        <v/>
      </c>
      <c r="AZ10" s="1" t="str">
        <f>IF(Quiniela!H136="","",Quiniela!H136)</f>
        <v/>
      </c>
      <c r="CN10" s="6">
        <v>7</v>
      </c>
      <c r="CO10" s="6" t="s">
        <v>863</v>
      </c>
      <c r="CP10" s="6" t="s">
        <v>67</v>
      </c>
      <c r="CR10" s="12" t="str">
        <f>A46</f>
        <v>QATAR</v>
      </c>
      <c r="CS10" s="12" t="s">
        <v>68</v>
      </c>
      <c r="CT10" s="12">
        <f t="shared" si="9"/>
        <v>0</v>
      </c>
      <c r="CU10" s="12">
        <f t="shared" si="9"/>
        <v>0</v>
      </c>
      <c r="CV10" s="12">
        <f t="shared" si="9"/>
        <v>0</v>
      </c>
      <c r="CW10" s="12">
        <f t="shared" si="9"/>
        <v>0</v>
      </c>
      <c r="CX10" s="12">
        <f t="shared" si="1"/>
        <v>9.9999999999999995E-8</v>
      </c>
      <c r="CY10" s="12">
        <f t="shared" si="2"/>
        <v>42</v>
      </c>
      <c r="CZ10" s="12">
        <f t="shared" si="3"/>
        <v>9.9999999999999995E-8</v>
      </c>
      <c r="DA10" s="12">
        <f t="shared" si="4"/>
        <v>42</v>
      </c>
      <c r="DB10" s="10"/>
      <c r="DC10" s="14" t="str">
        <f>IF(COUNT($CT$4:$CT$51)=0,"",INDEX($CR$4:$CR$51,MATCH(ROWS($DC$5:DC10),$CY$4:$CY$51,0)))</f>
        <v>UZBEKISTAN</v>
      </c>
      <c r="DD10" s="14">
        <f t="shared" si="7"/>
        <v>0</v>
      </c>
      <c r="DE10" s="10"/>
      <c r="DF10" s="14" t="str">
        <f>IF(COUNT($CT$4:$CT$51)=0,"",INDEX($CR$4:$CR$51,MATCH(ROWS($DF$5:DF10),$DA$4:$DA$51,0)))</f>
        <v>UZBEKISTAN</v>
      </c>
      <c r="DG10" s="14">
        <f t="shared" si="8"/>
        <v>4.5999999999999999E-7</v>
      </c>
      <c r="DH10" s="10"/>
      <c r="DI10" s="10"/>
      <c r="DJ10" s="10"/>
      <c r="DK10" s="14" t="str">
        <f>IF(Quiniela!D144="","",Quiniela!D144)</f>
        <v/>
      </c>
      <c r="DL10" s="10"/>
      <c r="DM10" s="10"/>
      <c r="DN10" s="10"/>
    </row>
    <row r="11" spans="1:118" x14ac:dyDescent="0.25">
      <c r="A11" s="1" t="s">
        <v>114</v>
      </c>
      <c r="B11" s="1" t="s">
        <v>115</v>
      </c>
      <c r="C11" s="1" t="s">
        <v>116</v>
      </c>
      <c r="D11" s="1" t="s">
        <v>117</v>
      </c>
      <c r="E11" s="1" t="s">
        <v>118</v>
      </c>
      <c r="M11" s="1" t="s">
        <v>15</v>
      </c>
      <c r="N11" s="1" t="s">
        <v>119</v>
      </c>
      <c r="O11" s="1" t="str">
        <f>IF(COUNT(Quiniela!$E$65:$E$70,Quiniela!$I$65:$I$70)=0,"",INDEX($A$114:$A$117,MATCH(3,$K$114:$K$117,0)))</f>
        <v/>
      </c>
      <c r="P11" s="1" t="str">
        <f>IF(COUNT(Quiniela!$E$65:$E$70,Quiniela!$I$65:$I$70)=0,"",INDEX($F$114:$F$117,MATCH(3,$K$114:$K$117,0)))</f>
        <v/>
      </c>
      <c r="Q11" s="1" t="str">
        <f>IF(COUNT(Quiniela!$E$65:$E$70,Quiniela!$I$65:$I$70)=0,"",INDEX($G$114:$G$117,MATCH(3,$K$114:$K$117,0)))</f>
        <v/>
      </c>
      <c r="R11" s="1" t="str">
        <f>IF(COUNT(Quiniela!$E$65:$E$70,Quiniela!$I$65:$I$70)=0,"",INDEX($I$114:$I$117,MATCH(3,$K$114:$K$117,0)))</f>
        <v/>
      </c>
      <c r="S11" s="1" t="str">
        <f>IF(COUNT(Quiniela!$E$65:$E$70,Quiniela!$I$65:$I$70)=0,"",P11+R11/100+Q11/10000+0.0000006)</f>
        <v/>
      </c>
      <c r="T11" s="1" t="str">
        <f>IF(COUNT(Quiniela!$E$65:$E$70,Quiniela!$I$65:$I$70)=0,"",RANK(S11,$S$5:$S$16,0))</f>
        <v/>
      </c>
      <c r="V11" s="1">
        <v>7</v>
      </c>
      <c r="W11" s="1" t="str">
        <f>IF(COUNT(Quiniela!$E$65:$E$70,Quiniela!$I$65:$I$70)=0,"",INDEX($M$5:$M$16,MATCH(V11,$T$5:$T$16,0)))</f>
        <v/>
      </c>
      <c r="X11" s="1" t="str">
        <f t="shared" si="5"/>
        <v/>
      </c>
      <c r="Y11" s="1" t="str">
        <f t="shared" si="6"/>
        <v/>
      </c>
      <c r="AO11" s="1" t="s">
        <v>98</v>
      </c>
      <c r="AP11" s="1" t="str">
        <f>IF(COUNT(Quiniela!$E$33:$E$38,Quiniela!$I$33:$I$38)=0,"",INDEX($A$58:$A$61,MATCH(1,$K$58:$K$61,0)))</f>
        <v/>
      </c>
      <c r="AQ11" t="s">
        <v>74</v>
      </c>
      <c r="AR11" s="1">
        <v>79</v>
      </c>
      <c r="AS11" s="1" t="str">
        <f>INDEX($AP$5:$AP$40,MATCH("1A",$AO$5:$AO$40,0))</f>
        <v/>
      </c>
      <c r="AT11" s="1" t="str">
        <f>AG15</f>
        <v/>
      </c>
      <c r="AU11" s="1" t="str">
        <f>IF(Quiniela!H119="","",Quiniela!H119)</f>
        <v/>
      </c>
      <c r="AV11" t="e">
        <f>Y15</f>
        <v>#VALUE!</v>
      </c>
      <c r="AW11" s="1">
        <v>95</v>
      </c>
      <c r="AX11" s="1" t="str">
        <f>INDEX($AU$5:$AU$20,MATCH(86,$AR$5:$AR$20,0))</f>
        <v/>
      </c>
      <c r="AY11" s="1" t="str">
        <f>INDEX($AU$5:$AU$20,MATCH(88,$AR$5:$AR$20,0))</f>
        <v/>
      </c>
      <c r="AZ11" s="1" t="str">
        <f>IF(Quiniela!H137="","",Quiniela!H137)</f>
        <v/>
      </c>
      <c r="CN11" s="6">
        <v>8</v>
      </c>
      <c r="CO11" s="6" t="s">
        <v>864</v>
      </c>
      <c r="CP11" s="6" t="s">
        <v>67</v>
      </c>
      <c r="CR11" s="12" t="str">
        <f>A47</f>
        <v>SUIZA</v>
      </c>
      <c r="CS11" s="12" t="s">
        <v>68</v>
      </c>
      <c r="CT11" s="12">
        <f t="shared" si="9"/>
        <v>0</v>
      </c>
      <c r="CU11" s="12">
        <f t="shared" si="9"/>
        <v>0</v>
      </c>
      <c r="CV11" s="12">
        <f t="shared" si="9"/>
        <v>0</v>
      </c>
      <c r="CW11" s="12">
        <f t="shared" si="9"/>
        <v>0</v>
      </c>
      <c r="CX11" s="12">
        <f t="shared" si="1"/>
        <v>1.1000000000000001E-7</v>
      </c>
      <c r="CY11" s="12">
        <f t="shared" si="2"/>
        <v>41</v>
      </c>
      <c r="CZ11" s="12">
        <f t="shared" si="3"/>
        <v>1.1000000000000001E-7</v>
      </c>
      <c r="DA11" s="12">
        <f t="shared" si="4"/>
        <v>41</v>
      </c>
      <c r="DB11" s="10"/>
      <c r="DC11" s="10"/>
      <c r="DD11" s="10"/>
      <c r="DE11" s="10"/>
      <c r="DF11" s="10"/>
      <c r="DG11" s="10"/>
      <c r="DH11" s="10"/>
      <c r="DI11" s="10"/>
      <c r="DJ11" s="10"/>
      <c r="DK11" s="14" t="str">
        <f>IF(Quiniela!F144="","",Quiniela!F144)</f>
        <v/>
      </c>
      <c r="DL11" s="10"/>
      <c r="DM11" s="10"/>
      <c r="DN11" s="10"/>
    </row>
    <row r="12" spans="1:118" x14ac:dyDescent="0.25">
      <c r="A12" s="1" t="s">
        <v>120</v>
      </c>
      <c r="B12" s="1" t="s">
        <v>121</v>
      </c>
      <c r="C12" s="1" t="s">
        <v>122</v>
      </c>
      <c r="D12" s="1" t="s">
        <v>123</v>
      </c>
      <c r="E12" s="1" t="s">
        <v>124</v>
      </c>
      <c r="M12" s="1" t="s">
        <v>114</v>
      </c>
      <c r="N12" s="1" t="s">
        <v>125</v>
      </c>
      <c r="O12" s="1" t="str">
        <f>IF(COUNT(Quiniela!$E$73:$E$78,Quiniela!$I$73:$I$78)=0,"",INDEX($A$128:$A$131,MATCH(3,$K$128:$K$131,0)))</f>
        <v/>
      </c>
      <c r="P12" s="1" t="str">
        <f>IF(COUNT(Quiniela!$E$73:$E$78,Quiniela!$I$73:$I$78)=0,"",INDEX($F$128:$F$131,MATCH(3,$K$128:$K$131,0)))</f>
        <v/>
      </c>
      <c r="Q12" s="1" t="str">
        <f>IF(COUNT(Quiniela!$E$73:$E$78,Quiniela!$I$73:$I$78)=0,"",INDEX($G$128:$G$131,MATCH(3,$K$128:$K$131,0)))</f>
        <v/>
      </c>
      <c r="R12" s="1" t="str">
        <f>IF(COUNT(Quiniela!$E$73:$E$78,Quiniela!$I$73:$I$78)=0,"",INDEX($I$128:$I$131,MATCH(3,$K$128:$K$131,0)))</f>
        <v/>
      </c>
      <c r="S12" s="1" t="str">
        <f>IF(COUNT(Quiniela!$E$73:$E$78,Quiniela!$I$73:$I$78)=0,"",P12+R12/100+Q12/10000+0.0000005)</f>
        <v/>
      </c>
      <c r="T12" s="1" t="str">
        <f>IF(COUNT(Quiniela!$E$73:$E$78,Quiniela!$I$73:$I$78)=0,"",RANK(S12,$S$5:$S$16,0))</f>
        <v/>
      </c>
      <c r="V12" s="1">
        <v>8</v>
      </c>
      <c r="W12" s="1" t="str">
        <f>IF(COUNT(Quiniela!$E$73:$E$78,Quiniela!$I$73:$I$78)=0,"",INDEX($M$5:$M$16,MATCH(V12,$T$5:$T$16,0)))</f>
        <v/>
      </c>
      <c r="X12" s="1" t="str">
        <f t="shared" si="5"/>
        <v/>
      </c>
      <c r="Y12" s="1" t="str">
        <f t="shared" si="6"/>
        <v/>
      </c>
      <c r="AO12" s="1" t="s">
        <v>91</v>
      </c>
      <c r="AP12" s="1" t="str">
        <f>IF(COUNT(Quiniela!$E$33:$E$38,Quiniela!$I$33:$I$38)=0,"",INDEX($A$58:$A$61,MATCH(2,$K$58:$K$61,0)))</f>
        <v/>
      </c>
      <c r="AQ12" t="s">
        <v>126</v>
      </c>
      <c r="AR12" s="1">
        <v>80</v>
      </c>
      <c r="AS12" s="1" t="str">
        <f>INDEX($AP$5:$AP$40,MATCH("1L",$AO$5:$AO$40,0))</f>
        <v/>
      </c>
      <c r="AT12" s="1" t="str">
        <f>AN15</f>
        <v/>
      </c>
      <c r="AU12" s="1" t="str">
        <f>IF(Quiniela!H120="","",Quiniela!H120)</f>
        <v/>
      </c>
      <c r="AV12" t="e">
        <f>AF15</f>
        <v>#VALUE!</v>
      </c>
      <c r="AW12" s="1">
        <v>96</v>
      </c>
      <c r="AX12" s="1" t="str">
        <f>INDEX($AU$5:$AU$20,MATCH(85,$AR$5:$AR$20,0))</f>
        <v/>
      </c>
      <c r="AY12" s="1" t="str">
        <f>INDEX($AU$5:$AU$20,MATCH(87,$AR$5:$AR$20,0))</f>
        <v/>
      </c>
      <c r="AZ12" s="1" t="str">
        <f>IF(Quiniela!H138="","",Quiniela!H138)</f>
        <v/>
      </c>
      <c r="CN12" s="6">
        <v>9</v>
      </c>
      <c r="CO12" s="6" t="s">
        <v>865</v>
      </c>
      <c r="CP12" s="6" t="s">
        <v>67</v>
      </c>
      <c r="CR12" s="12" t="str">
        <f>A58</f>
        <v>BRASIL</v>
      </c>
      <c r="CS12" s="12" t="s">
        <v>77</v>
      </c>
      <c r="CT12" s="12">
        <f t="shared" ref="CT12:CW15" si="10">F58</f>
        <v>0</v>
      </c>
      <c r="CU12" s="12">
        <f t="shared" si="10"/>
        <v>0</v>
      </c>
      <c r="CV12" s="12">
        <f t="shared" si="10"/>
        <v>0</v>
      </c>
      <c r="CW12" s="12">
        <f t="shared" si="10"/>
        <v>0</v>
      </c>
      <c r="CX12" s="12">
        <f t="shared" si="1"/>
        <v>1.1999999999999999E-7</v>
      </c>
      <c r="CY12" s="12">
        <f t="shared" si="2"/>
        <v>40</v>
      </c>
      <c r="CZ12" s="12">
        <f t="shared" si="3"/>
        <v>1.1999999999999999E-7</v>
      </c>
      <c r="DA12" s="12">
        <f t="shared" si="4"/>
        <v>40</v>
      </c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</row>
    <row r="13" spans="1:118" x14ac:dyDescent="0.25">
      <c r="A13" s="1" t="s">
        <v>14</v>
      </c>
      <c r="B13" s="1" t="s">
        <v>127</v>
      </c>
      <c r="C13" s="1" t="s">
        <v>128</v>
      </c>
      <c r="D13" s="1" t="s">
        <v>129</v>
      </c>
      <c r="E13" s="1" t="s">
        <v>130</v>
      </c>
      <c r="M13" s="1" t="s">
        <v>120</v>
      </c>
      <c r="N13" s="1" t="s">
        <v>131</v>
      </c>
      <c r="O13" s="1" t="str">
        <f>IF(COUNT(Quiniela!$E$81:$E$86,Quiniela!$I$81:$I$86)=0,"",INDEX($A$142:$A$145,MATCH(3,$K$142:$K$145,0)))</f>
        <v/>
      </c>
      <c r="P13" s="1" t="str">
        <f>IF(COUNT(Quiniela!$E$81:$E$86,Quiniela!$I$81:$I$86)=0,"",INDEX($F$142:$F$145,MATCH(3,$K$142:$K$145,0)))</f>
        <v/>
      </c>
      <c r="Q13" s="1" t="str">
        <f>IF(COUNT(Quiniela!$E$81:$E$86,Quiniela!$I$81:$I$86)=0,"",INDEX($G$142:$G$145,MATCH(3,$K$142:$K$145,0)))</f>
        <v/>
      </c>
      <c r="R13" s="1" t="str">
        <f>IF(COUNT(Quiniela!$E$81:$E$86,Quiniela!$I$81:$I$86)=0,"",INDEX($I$142:$I$145,MATCH(3,$K$142:$K$145,0)))</f>
        <v/>
      </c>
      <c r="S13" s="1" t="str">
        <f>IF(COUNT(Quiniela!$E$81:$E$86,Quiniela!$I$81:$I$86)=0,"",P13+R13/100+Q13/10000+0.0000004)</f>
        <v/>
      </c>
      <c r="T13" s="1" t="str">
        <f>IF(COUNT(Quiniela!$E$81:$E$86,Quiniela!$I$81:$I$86)=0,"",RANK(S13,$S$5:$S$16,0))</f>
        <v/>
      </c>
      <c r="AO13" s="1" t="s">
        <v>89</v>
      </c>
      <c r="AP13" s="1" t="str">
        <f>IF(COUNT(Quiniela!$E$33:$E$38,Quiniela!$I$33:$I$38)=0,"",INDEX($A$58:$A$61,MATCH(3,$K$58:$K$61,0)))</f>
        <v/>
      </c>
      <c r="AQ13" t="s">
        <v>132</v>
      </c>
      <c r="AR13" s="1">
        <v>81</v>
      </c>
      <c r="AS13" s="1" t="str">
        <f>INDEX($AP$5:$AP$40,MATCH("1D",$AO$5:$AO$40,0))</f>
        <v/>
      </c>
      <c r="AT13" s="1" t="str">
        <f>AI15</f>
        <v/>
      </c>
      <c r="AU13" s="1" t="str">
        <f>IF(Quiniela!H121="","",Quiniela!H121)</f>
        <v/>
      </c>
      <c r="AV13" t="e">
        <f>AA15</f>
        <v>#VALUE!</v>
      </c>
      <c r="CN13" s="6">
        <v>10</v>
      </c>
      <c r="CO13" s="6" t="s">
        <v>866</v>
      </c>
      <c r="CP13" s="6" t="s">
        <v>67</v>
      </c>
      <c r="CR13" s="12" t="str">
        <f>A59</f>
        <v>MARRUECOS</v>
      </c>
      <c r="CS13" s="12" t="s">
        <v>77</v>
      </c>
      <c r="CT13" s="12">
        <f t="shared" si="10"/>
        <v>0</v>
      </c>
      <c r="CU13" s="12">
        <f t="shared" si="10"/>
        <v>0</v>
      </c>
      <c r="CV13" s="12">
        <f t="shared" si="10"/>
        <v>0</v>
      </c>
      <c r="CW13" s="12">
        <f t="shared" si="10"/>
        <v>0</v>
      </c>
      <c r="CX13" s="12">
        <f t="shared" si="1"/>
        <v>1.3E-7</v>
      </c>
      <c r="CY13" s="12">
        <f t="shared" si="2"/>
        <v>39</v>
      </c>
      <c r="CZ13" s="12">
        <f t="shared" si="3"/>
        <v>1.3E-7</v>
      </c>
      <c r="DA13" s="12">
        <f t="shared" si="4"/>
        <v>39</v>
      </c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</row>
    <row r="14" spans="1:118" x14ac:dyDescent="0.25">
      <c r="A14" s="1" t="s">
        <v>133</v>
      </c>
      <c r="B14" s="1" t="s">
        <v>134</v>
      </c>
      <c r="C14" s="1" t="s">
        <v>135</v>
      </c>
      <c r="D14" s="1" t="s">
        <v>136</v>
      </c>
      <c r="E14" s="1" t="s">
        <v>137</v>
      </c>
      <c r="M14" s="1" t="s">
        <v>14</v>
      </c>
      <c r="N14" s="1" t="s">
        <v>138</v>
      </c>
      <c r="O14" s="1" t="str">
        <f>IF(COUNT(Quiniela!$E$89:$E$94,Quiniela!$I$89:$I$94)=0,"",INDEX($A$156:$A$159,MATCH(3,$K$156:$K$159,0)))</f>
        <v/>
      </c>
      <c r="P14" s="1" t="str">
        <f>IF(COUNT(Quiniela!$E$89:$E$94,Quiniela!$I$89:$I$94)=0,"",INDEX($F$156:$F$159,MATCH(3,$K$156:$K$159,0)))</f>
        <v/>
      </c>
      <c r="Q14" s="1" t="str">
        <f>IF(COUNT(Quiniela!$E$89:$E$94,Quiniela!$I$89:$I$94)=0,"",INDEX($G$156:$G$159,MATCH(3,$K$156:$K$159,0)))</f>
        <v/>
      </c>
      <c r="R14" s="1" t="str">
        <f>IF(COUNT(Quiniela!$E$89:$E$94,Quiniela!$I$89:$I$94)=0,"",INDEX($I$156:$I$159,MATCH(3,$K$156:$K$159,0)))</f>
        <v/>
      </c>
      <c r="S14" s="1" t="str">
        <f>IF(COUNT(Quiniela!$E$89:$E$94,Quiniela!$I$89:$I$94)=0,"",P14+R14/100+Q14/10000+0.0000003)</f>
        <v/>
      </c>
      <c r="T14" s="1" t="str">
        <f>IF(COUNT(Quiniela!$E$89:$E$94,Quiniela!$I$89:$I$94)=0,"",RANK(S14,$S$5:$S$16,0))</f>
        <v/>
      </c>
      <c r="V14" s="2" t="s">
        <v>139</v>
      </c>
      <c r="X14" s="2" t="s">
        <v>140</v>
      </c>
      <c r="Y14" s="2" t="s">
        <v>74</v>
      </c>
      <c r="Z14" s="2" t="s">
        <v>97</v>
      </c>
      <c r="AA14" s="2" t="s">
        <v>132</v>
      </c>
      <c r="AB14" s="2" t="s">
        <v>83</v>
      </c>
      <c r="AC14" s="2" t="s">
        <v>141</v>
      </c>
      <c r="AD14" s="2" t="s">
        <v>106</v>
      </c>
      <c r="AE14" s="2" t="s">
        <v>142</v>
      </c>
      <c r="AF14" s="2" t="s">
        <v>126</v>
      </c>
      <c r="AG14" s="2" t="s">
        <v>143</v>
      </c>
      <c r="AH14" s="2" t="s">
        <v>144</v>
      </c>
      <c r="AI14" s="2" t="s">
        <v>145</v>
      </c>
      <c r="AJ14" s="2" t="s">
        <v>146</v>
      </c>
      <c r="AK14" s="2" t="s">
        <v>147</v>
      </c>
      <c r="AL14" s="2" t="s">
        <v>148</v>
      </c>
      <c r="AM14" s="2" t="s">
        <v>149</v>
      </c>
      <c r="AN14" s="2" t="s">
        <v>150</v>
      </c>
      <c r="AO14" s="1" t="s">
        <v>132</v>
      </c>
      <c r="AP14" s="1" t="str">
        <f>IF(COUNT(Quiniela!$E$41:$E$46,Quiniela!$I$41:$I$46)=0,"",INDEX($A$72:$A$75,MATCH(1,$K$72:$K$75,0)))</f>
        <v/>
      </c>
      <c r="AQ14" t="s">
        <v>141</v>
      </c>
      <c r="AR14" s="1">
        <v>82</v>
      </c>
      <c r="AS14" s="1" t="str">
        <f>INDEX($AP$5:$AP$40,MATCH("1G",$AO$5:$AO$40,0))</f>
        <v/>
      </c>
      <c r="AT14" s="1" t="str">
        <f>AK15</f>
        <v/>
      </c>
      <c r="AU14" s="1" t="str">
        <f>IF(Quiniela!H122="","",Quiniela!H122)</f>
        <v/>
      </c>
      <c r="AV14" t="e">
        <f>AC15</f>
        <v>#VALUE!</v>
      </c>
      <c r="CN14" s="6">
        <v>11</v>
      </c>
      <c r="CO14" s="6" t="s">
        <v>867</v>
      </c>
      <c r="CP14" s="6" t="s">
        <v>67</v>
      </c>
      <c r="CR14" s="12" t="str">
        <f>A60</f>
        <v>HAITI</v>
      </c>
      <c r="CS14" s="12" t="s">
        <v>77</v>
      </c>
      <c r="CT14" s="12">
        <f t="shared" si="10"/>
        <v>0</v>
      </c>
      <c r="CU14" s="12">
        <f t="shared" si="10"/>
        <v>0</v>
      </c>
      <c r="CV14" s="12">
        <f t="shared" si="10"/>
        <v>0</v>
      </c>
      <c r="CW14" s="12">
        <f t="shared" si="10"/>
        <v>0</v>
      </c>
      <c r="CX14" s="12">
        <f t="shared" si="1"/>
        <v>1.4000000000000001E-7</v>
      </c>
      <c r="CY14" s="12">
        <f t="shared" si="2"/>
        <v>38</v>
      </c>
      <c r="CZ14" s="12">
        <f t="shared" si="3"/>
        <v>1.4000000000000001E-7</v>
      </c>
      <c r="DA14" s="12">
        <f t="shared" si="4"/>
        <v>38</v>
      </c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</row>
    <row r="15" spans="1:118" x14ac:dyDescent="0.25">
      <c r="A15" s="1" t="s">
        <v>151</v>
      </c>
      <c r="B15" s="1" t="s">
        <v>152</v>
      </c>
      <c r="C15" s="1" t="s">
        <v>153</v>
      </c>
      <c r="D15" s="1" t="s">
        <v>154</v>
      </c>
      <c r="E15" s="1" t="s">
        <v>155</v>
      </c>
      <c r="M15" s="1" t="s">
        <v>133</v>
      </c>
      <c r="N15" s="1" t="s">
        <v>156</v>
      </c>
      <c r="O15" s="1" t="str">
        <f>IF(COUNT(Quiniela!$E$97:$E$102,Quiniela!$I$97:$I$102)=0,"",INDEX($A$170:$A$173,MATCH(3,$K$170:$K$173,0)))</f>
        <v/>
      </c>
      <c r="P15" s="1" t="str">
        <f>IF(COUNT(Quiniela!$E$97:$E$102,Quiniela!$I$97:$I$102)=0,"",INDEX($F$170:$F$173,MATCH(3,$K$170:$K$173,0)))</f>
        <v/>
      </c>
      <c r="Q15" s="1" t="str">
        <f>IF(COUNT(Quiniela!$E$97:$E$102,Quiniela!$I$97:$I$102)=0,"",INDEX($G$170:$G$173,MATCH(3,$K$170:$K$173,0)))</f>
        <v/>
      </c>
      <c r="R15" s="1" t="str">
        <f>IF(COUNT(Quiniela!$E$97:$E$102,Quiniela!$I$97:$I$102)=0,"",INDEX($I$170:$I$173,MATCH(3,$K$170:$K$173,0)))</f>
        <v/>
      </c>
      <c r="S15" s="1" t="str">
        <f>IF(COUNT(Quiniela!$E$97:$E$102,Quiniela!$I$97:$I$102)=0,"",P15+R15/100+Q15/10000+0.0000002)</f>
        <v/>
      </c>
      <c r="T15" s="1" t="str">
        <f>IF(COUNT(Quiniela!$E$97:$E$102,Quiniela!$I$97:$I$102)=0,"",RANK(S15,$S$5:$S$16,0))</f>
        <v/>
      </c>
      <c r="V15" s="1" t="str">
        <f>IF(COUNTIF(W5:W12,"?")&lt;8,"",IF(COUNTIF(W5:W12,"A")&gt;0,"A","")&amp;IF(COUNTIF(W5:W12,"B")&gt;0,"B","")&amp;IF(COUNTIF(W5:W12,"C")&gt;0,"C","")&amp;IF(COUNTIF(W5:W12,"D")&gt;0,"D","")&amp;IF(COUNTIF(W5:W12,"E")&gt;0,"E","")&amp;IF(COUNTIF(W5:W12,"F")&gt;0,"F","")&amp;IF(COUNTIF(W5:W12,"G")&gt;0,"G","")&amp;IF(COUNTIF(W5:W12,"H")&gt;0,"H","")&amp;IF(COUNTIF(W5:W12,"I")&gt;0,"I","")&amp;IF(COUNTIF(W5:W12,"J")&gt;0,"J","")&amp;IF(COUNTIF(W5:W12,"K")&gt;0,"K","")&amp;IF(COUNTIF(W5:W12,"L")&gt;0,"L",""))</f>
        <v/>
      </c>
      <c r="X15" s="1" t="str">
        <f>IF(V15="","",MATCH(V15,$V$21:$V$515,0))</f>
        <v/>
      </c>
      <c r="Y15" s="1" t="e">
        <f>INDEX($N$21:$N$515,$X$15)</f>
        <v>#VALUE!</v>
      </c>
      <c r="Z15" s="1" t="e">
        <f>INDEX($O$21:$O$515,$X$15)</f>
        <v>#VALUE!</v>
      </c>
      <c r="AA15" s="1" t="e">
        <f>INDEX($P$21:$P$515,$X$15)</f>
        <v>#VALUE!</v>
      </c>
      <c r="AB15" s="1" t="e">
        <f>INDEX($Q$21:$Q$515,$X$15)</f>
        <v>#VALUE!</v>
      </c>
      <c r="AC15" s="1" t="e">
        <f>INDEX($R$21:$R$515,$X$15)</f>
        <v>#VALUE!</v>
      </c>
      <c r="AD15" s="1" t="e">
        <f>INDEX($S$21:$S$515,$X$15)</f>
        <v>#VALUE!</v>
      </c>
      <c r="AE15" s="1" t="e">
        <f>INDEX($T$21:$T$515,$X$15)</f>
        <v>#VALUE!</v>
      </c>
      <c r="AF15" s="1" t="e">
        <f>INDEX($U$21:$U$515,$X$15)</f>
        <v>#VALUE!</v>
      </c>
      <c r="AG15" s="1" t="str">
        <f t="shared" ref="AG15:AN15" si="11">IFERROR(INDEX($O$5:$O$16,MATCH(Y15,$N$5:$N$16,0)),"")</f>
        <v/>
      </c>
      <c r="AH15" s="1" t="str">
        <f t="shared" si="11"/>
        <v/>
      </c>
      <c r="AI15" s="1" t="str">
        <f t="shared" si="11"/>
        <v/>
      </c>
      <c r="AJ15" s="1" t="str">
        <f t="shared" si="11"/>
        <v/>
      </c>
      <c r="AK15" s="1" t="str">
        <f t="shared" si="11"/>
        <v/>
      </c>
      <c r="AL15" s="1" t="str">
        <f t="shared" si="11"/>
        <v/>
      </c>
      <c r="AM15" s="1" t="str">
        <f t="shared" si="11"/>
        <v/>
      </c>
      <c r="AN15" s="1" t="str">
        <f t="shared" si="11"/>
        <v/>
      </c>
      <c r="AO15" s="1" t="s">
        <v>157</v>
      </c>
      <c r="AP15" s="1" t="str">
        <f>IF(COUNT(Quiniela!$E$41:$E$46,Quiniela!$I$41:$I$46)=0,"",INDEX($A$72:$A$75,MATCH(2,$K$72:$K$75,0)))</f>
        <v/>
      </c>
      <c r="AQ15" t="s">
        <v>158</v>
      </c>
      <c r="AR15" s="1">
        <v>83</v>
      </c>
      <c r="AS15" s="1" t="str">
        <f>INDEX($AP$5:$AP$40,MATCH("2K",$AO$5:$AO$40,0))</f>
        <v/>
      </c>
      <c r="AT15" s="1" t="str">
        <f>INDEX($AP$5:$AP$40,MATCH("2L",$AO$5:$AO$40,0))</f>
        <v/>
      </c>
      <c r="AU15" s="1" t="str">
        <f>IF(Quiniela!H123="","",Quiniela!H123)</f>
        <v/>
      </c>
      <c r="AV15" t="s">
        <v>159</v>
      </c>
      <c r="CN15" s="6">
        <v>12</v>
      </c>
      <c r="CO15" s="6" t="s">
        <v>868</v>
      </c>
      <c r="CP15" s="6" t="s">
        <v>67</v>
      </c>
      <c r="CR15" s="12" t="str">
        <f>A61</f>
        <v>ESCOCIA</v>
      </c>
      <c r="CS15" s="12" t="s">
        <v>77</v>
      </c>
      <c r="CT15" s="12">
        <f t="shared" si="10"/>
        <v>0</v>
      </c>
      <c r="CU15" s="12">
        <f t="shared" si="10"/>
        <v>0</v>
      </c>
      <c r="CV15" s="12">
        <f t="shared" si="10"/>
        <v>0</v>
      </c>
      <c r="CW15" s="12">
        <f t="shared" si="10"/>
        <v>0</v>
      </c>
      <c r="CX15" s="12">
        <f t="shared" si="1"/>
        <v>1.4999999999999999E-7</v>
      </c>
      <c r="CY15" s="12">
        <f t="shared" si="2"/>
        <v>37</v>
      </c>
      <c r="CZ15" s="12">
        <f t="shared" si="3"/>
        <v>1.4999999999999999E-7</v>
      </c>
      <c r="DA15" s="12">
        <f t="shared" si="4"/>
        <v>37</v>
      </c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</row>
    <row r="16" spans="1:118" x14ac:dyDescent="0.25">
      <c r="M16" s="1" t="s">
        <v>151</v>
      </c>
      <c r="N16" s="1" t="s">
        <v>160</v>
      </c>
      <c r="O16" s="1" t="str">
        <f>IF(COUNT(Quiniela!$E$105:$E$110,Quiniela!$I$105:$I$110)=0,"",INDEX($A$184:$A$187,MATCH(3,$K$184:$K$187,0)))</f>
        <v/>
      </c>
      <c r="P16" s="1" t="str">
        <f>IF(COUNT(Quiniela!$E$105:$E$110,Quiniela!$I$105:$I$110)=0,"",INDEX($F$184:$F$187,MATCH(3,$K$184:$K$187,0)))</f>
        <v/>
      </c>
      <c r="Q16" s="1" t="str">
        <f>IF(COUNT(Quiniela!$E$105:$E$110,Quiniela!$I$105:$I$110)=0,"",INDEX($G$184:$G$187,MATCH(3,$K$184:$K$187,0)))</f>
        <v/>
      </c>
      <c r="R16" s="1" t="str">
        <f>IF(COUNT(Quiniela!$E$105:$E$110,Quiniela!$I$105:$I$110)=0,"",INDEX($I$184:$I$187,MATCH(3,$K$184:$K$187,0)))</f>
        <v/>
      </c>
      <c r="S16" s="1" t="str">
        <f>IF(COUNT(Quiniela!$E$105:$E$110,Quiniela!$I$105:$I$110)=0,"",P16+R16/100+Q16/10000+0.0000001)</f>
        <v/>
      </c>
      <c r="T16" s="1" t="str">
        <f>IF(COUNT(Quiniela!$E$105:$E$110,Quiniela!$I$105:$I$110)=0,"",RANK(S16,$S$5:$S$16,0))</f>
        <v/>
      </c>
      <c r="AO16" s="1" t="s">
        <v>96</v>
      </c>
      <c r="AP16" s="1" t="str">
        <f>IF(COUNT(Quiniela!$E$41:$E$46,Quiniela!$I$41:$I$46)=0,"",INDEX($A$72:$A$75,MATCH(3,$K$72:$K$75,0)))</f>
        <v/>
      </c>
      <c r="AQ16" t="s">
        <v>161</v>
      </c>
      <c r="AR16" s="1">
        <v>84</v>
      </c>
      <c r="AS16" s="1" t="str">
        <f>INDEX($AP$5:$AP$40,MATCH("1H",$AO$5:$AO$40,0))</f>
        <v/>
      </c>
      <c r="AT16" s="1" t="str">
        <f>INDEX($AP$5:$AP$40,MATCH("2J",$AO$5:$AO$40,0))</f>
        <v/>
      </c>
      <c r="AU16" s="1" t="str">
        <f>IF(Quiniela!H124="","",Quiniela!H124)</f>
        <v/>
      </c>
      <c r="AV16" t="s">
        <v>162</v>
      </c>
      <c r="CN16" s="6">
        <v>13</v>
      </c>
      <c r="CO16" s="6" t="s">
        <v>869</v>
      </c>
      <c r="CP16" s="6" t="s">
        <v>67</v>
      </c>
      <c r="CR16" s="12" t="str">
        <f>A72</f>
        <v>USA</v>
      </c>
      <c r="CS16" s="12" t="s">
        <v>84</v>
      </c>
      <c r="CT16" s="12">
        <f t="shared" ref="CT16:CW19" si="12">F72</f>
        <v>0</v>
      </c>
      <c r="CU16" s="12">
        <f t="shared" si="12"/>
        <v>0</v>
      </c>
      <c r="CV16" s="12">
        <f t="shared" si="12"/>
        <v>0</v>
      </c>
      <c r="CW16" s="12">
        <f t="shared" si="12"/>
        <v>0</v>
      </c>
      <c r="CX16" s="12">
        <f t="shared" si="1"/>
        <v>1.6E-7</v>
      </c>
      <c r="CY16" s="12">
        <f t="shared" si="2"/>
        <v>36</v>
      </c>
      <c r="CZ16" s="12">
        <f t="shared" si="3"/>
        <v>1.6E-7</v>
      </c>
      <c r="DA16" s="12">
        <f t="shared" si="4"/>
        <v>36</v>
      </c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</row>
    <row r="17" spans="1:118" x14ac:dyDescent="0.25">
      <c r="AO17" s="1" t="s">
        <v>83</v>
      </c>
      <c r="AP17" s="1" t="str">
        <f>IF(COUNT(Quiniela!$E$49:$E$54,Quiniela!$I$49:$I$54)=0,"",INDEX($A$86:$A$89,MATCH(1,$K$86:$K$89,0)))</f>
        <v/>
      </c>
      <c r="AQ17" t="s">
        <v>97</v>
      </c>
      <c r="AR17" s="1">
        <v>85</v>
      </c>
      <c r="AS17" s="1" t="str">
        <f>INDEX($AP$5:$AP$40,MATCH("1B",$AO$5:$AO$40,0))</f>
        <v/>
      </c>
      <c r="AT17" s="1" t="str">
        <f>AH15</f>
        <v/>
      </c>
      <c r="AU17" s="1" t="str">
        <f>IF(Quiniela!H125="","",Quiniela!H125)</f>
        <v/>
      </c>
      <c r="AV17" t="e">
        <f>Z15</f>
        <v>#VALUE!</v>
      </c>
      <c r="CN17" s="6">
        <v>14</v>
      </c>
      <c r="CO17" s="6" t="s">
        <v>870</v>
      </c>
      <c r="CP17" s="6" t="s">
        <v>67</v>
      </c>
      <c r="CR17" s="12" t="str">
        <f>A73</f>
        <v>PARAGUAY</v>
      </c>
      <c r="CS17" s="12" t="s">
        <v>84</v>
      </c>
      <c r="CT17" s="12">
        <f t="shared" si="12"/>
        <v>0</v>
      </c>
      <c r="CU17" s="12">
        <f t="shared" si="12"/>
        <v>0</v>
      </c>
      <c r="CV17" s="12">
        <f t="shared" si="12"/>
        <v>0</v>
      </c>
      <c r="CW17" s="12">
        <f t="shared" si="12"/>
        <v>0</v>
      </c>
      <c r="CX17" s="12">
        <f t="shared" si="1"/>
        <v>1.6999999999999999E-7</v>
      </c>
      <c r="CY17" s="12">
        <f t="shared" si="2"/>
        <v>35</v>
      </c>
      <c r="CZ17" s="12">
        <f t="shared" si="3"/>
        <v>1.6999999999999999E-7</v>
      </c>
      <c r="DA17" s="12">
        <f t="shared" si="4"/>
        <v>35</v>
      </c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</row>
    <row r="18" spans="1:118" x14ac:dyDescent="0.25">
      <c r="AO18" s="1" t="s">
        <v>112</v>
      </c>
      <c r="AP18" s="1" t="str">
        <f>IF(COUNT(Quiniela!$E$49:$E$54,Quiniela!$I$49:$I$54)=0,"",INDEX($A$86:$A$89,MATCH(2,$K$86:$K$89,0)))</f>
        <v/>
      </c>
      <c r="AQ18" t="s">
        <v>163</v>
      </c>
      <c r="AR18" s="1">
        <v>86</v>
      </c>
      <c r="AS18" s="1" t="str">
        <f>INDEX($AP$5:$AP$40,MATCH("1J",$AO$5:$AO$40,0))</f>
        <v/>
      </c>
      <c r="AT18" s="1" t="str">
        <f>INDEX($AP$5:$AP$40,MATCH("2H",$AO$5:$AO$40,0))</f>
        <v/>
      </c>
      <c r="AU18" s="1" t="str">
        <f>IF(Quiniela!H126="","",Quiniela!H126)</f>
        <v/>
      </c>
      <c r="AV18" t="s">
        <v>164</v>
      </c>
      <c r="CN18" s="6">
        <v>15</v>
      </c>
      <c r="CO18" s="6" t="s">
        <v>871</v>
      </c>
      <c r="CP18" s="6" t="s">
        <v>67</v>
      </c>
      <c r="CR18" s="12" t="str">
        <f>A74</f>
        <v>AUSTRALIA</v>
      </c>
      <c r="CS18" s="12" t="s">
        <v>84</v>
      </c>
      <c r="CT18" s="12">
        <f t="shared" si="12"/>
        <v>0</v>
      </c>
      <c r="CU18" s="12">
        <f t="shared" si="12"/>
        <v>0</v>
      </c>
      <c r="CV18" s="12">
        <f t="shared" si="12"/>
        <v>0</v>
      </c>
      <c r="CW18" s="12">
        <f t="shared" si="12"/>
        <v>0</v>
      </c>
      <c r="CX18" s="12">
        <f t="shared" si="1"/>
        <v>1.8E-7</v>
      </c>
      <c r="CY18" s="12">
        <f t="shared" si="2"/>
        <v>34</v>
      </c>
      <c r="CZ18" s="12">
        <f t="shared" si="3"/>
        <v>1.8E-7</v>
      </c>
      <c r="DA18" s="12">
        <f t="shared" si="4"/>
        <v>34</v>
      </c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</row>
    <row r="19" spans="1:118" x14ac:dyDescent="0.25">
      <c r="M19" s="142" t="s">
        <v>165</v>
      </c>
      <c r="N19" s="138"/>
      <c r="O19" s="138"/>
      <c r="P19" s="138"/>
      <c r="Q19" s="138"/>
      <c r="R19" s="138"/>
      <c r="S19" s="138"/>
      <c r="T19" s="138"/>
      <c r="U19" s="138"/>
      <c r="V19" s="138"/>
      <c r="AO19" s="1" t="s">
        <v>105</v>
      </c>
      <c r="AP19" s="1" t="str">
        <f>IF(COUNT(Quiniela!$E$49:$E$54,Quiniela!$I$49:$I$54)=0,"",INDEX($A$86:$A$89,MATCH(3,$K$86:$K$89,0)))</f>
        <v/>
      </c>
      <c r="AQ19" t="s">
        <v>142</v>
      </c>
      <c r="AR19" s="1">
        <v>87</v>
      </c>
      <c r="AS19" s="1" t="str">
        <f>INDEX($AP$5:$AP$40,MATCH("1K",$AO$5:$AO$40,0))</f>
        <v/>
      </c>
      <c r="AT19" s="1" t="str">
        <f>AM15</f>
        <v/>
      </c>
      <c r="AU19" s="1" t="str">
        <f>IF(Quiniela!H127="","",Quiniela!H127)</f>
        <v/>
      </c>
      <c r="AV19" t="e">
        <f>AE15</f>
        <v>#VALUE!</v>
      </c>
      <c r="CN19" s="6">
        <v>16</v>
      </c>
      <c r="CO19" s="6" t="s">
        <v>872</v>
      </c>
      <c r="CP19" s="6" t="s">
        <v>67</v>
      </c>
      <c r="CR19" s="12" t="str">
        <f>A75</f>
        <v>TURQUIA</v>
      </c>
      <c r="CS19" s="12" t="s">
        <v>84</v>
      </c>
      <c r="CT19" s="12">
        <f t="shared" si="12"/>
        <v>0</v>
      </c>
      <c r="CU19" s="12">
        <f t="shared" si="12"/>
        <v>0</v>
      </c>
      <c r="CV19" s="12">
        <f t="shared" si="12"/>
        <v>0</v>
      </c>
      <c r="CW19" s="12">
        <f t="shared" si="12"/>
        <v>0</v>
      </c>
      <c r="CX19" s="12">
        <f t="shared" si="1"/>
        <v>1.9000000000000001E-7</v>
      </c>
      <c r="CY19" s="12">
        <f t="shared" si="2"/>
        <v>33</v>
      </c>
      <c r="CZ19" s="12">
        <f t="shared" si="3"/>
        <v>1.9000000000000001E-7</v>
      </c>
      <c r="DA19" s="12">
        <f t="shared" si="4"/>
        <v>33</v>
      </c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</row>
    <row r="20" spans="1:118" x14ac:dyDescent="0.25">
      <c r="A20" s="137" t="s">
        <v>166</v>
      </c>
      <c r="B20" s="138"/>
      <c r="C20" s="138"/>
      <c r="D20" s="138"/>
      <c r="E20" s="138"/>
      <c r="F20" s="138"/>
      <c r="G20" s="138"/>
      <c r="H20" s="138"/>
      <c r="I20" s="138"/>
      <c r="J20" s="138"/>
      <c r="K20" s="138"/>
      <c r="M20" s="3" t="s">
        <v>167</v>
      </c>
      <c r="N20" s="3" t="s">
        <v>74</v>
      </c>
      <c r="O20" s="3" t="s">
        <v>97</v>
      </c>
      <c r="P20" s="3" t="s">
        <v>132</v>
      </c>
      <c r="Q20" s="3" t="s">
        <v>83</v>
      </c>
      <c r="R20" s="3" t="s">
        <v>141</v>
      </c>
      <c r="S20" s="3" t="s">
        <v>106</v>
      </c>
      <c r="T20" s="3" t="s">
        <v>142</v>
      </c>
      <c r="U20" s="3" t="s">
        <v>126</v>
      </c>
      <c r="V20" s="3" t="s">
        <v>58</v>
      </c>
      <c r="AO20" s="1" t="s">
        <v>90</v>
      </c>
      <c r="AP20" s="1" t="str">
        <f>IF(COUNT(Quiniela!$E$57:$E$62,Quiniela!$I$57:$I$62)=0,"",INDEX($A$100:$A$103,MATCH(1,$K$100:$K$103,0)))</f>
        <v/>
      </c>
      <c r="AQ20" t="s">
        <v>157</v>
      </c>
      <c r="AR20" s="1">
        <v>88</v>
      </c>
      <c r="AS20" s="1" t="str">
        <f>INDEX($AP$5:$AP$40,MATCH("2D",$AO$5:$AO$40,0))</f>
        <v/>
      </c>
      <c r="AT20" s="1" t="str">
        <f>INDEX($AP$5:$AP$40,MATCH("2G",$AO$5:$AO$40,0))</f>
        <v/>
      </c>
      <c r="AU20" s="1" t="str">
        <f>IF(Quiniela!H128="","",Quiniela!H128)</f>
        <v/>
      </c>
      <c r="AV20" t="s">
        <v>168</v>
      </c>
      <c r="BH20" t="str">
        <f>AS5</f>
        <v/>
      </c>
      <c r="BI20" t="str">
        <f>AS6</f>
        <v/>
      </c>
      <c r="BJ20" t="str">
        <f>AS7</f>
        <v/>
      </c>
      <c r="BK20" t="str">
        <f>AS8</f>
        <v/>
      </c>
      <c r="BL20" t="str">
        <f>AS9</f>
        <v/>
      </c>
      <c r="BM20" t="str">
        <f>AS10</f>
        <v/>
      </c>
      <c r="BN20" t="str">
        <f>AS11</f>
        <v/>
      </c>
      <c r="BO20" t="str">
        <f>AS12</f>
        <v/>
      </c>
      <c r="BP20" t="str">
        <f>AS13</f>
        <v/>
      </c>
      <c r="BQ20" t="str">
        <f>AS14</f>
        <v/>
      </c>
      <c r="BR20" t="str">
        <f>AS15</f>
        <v/>
      </c>
      <c r="BS20" t="str">
        <f>AS16</f>
        <v/>
      </c>
      <c r="BT20" t="str">
        <f>AS17</f>
        <v/>
      </c>
      <c r="BU20" t="str">
        <f>AS18</f>
        <v/>
      </c>
      <c r="BV20" t="str">
        <f>AS19</f>
        <v/>
      </c>
      <c r="BW20" t="str">
        <f>AS20</f>
        <v/>
      </c>
      <c r="BX20" t="str">
        <f>AX5</f>
        <v/>
      </c>
      <c r="BY20" t="str">
        <f>AX6</f>
        <v/>
      </c>
      <c r="BZ20" t="str">
        <f>AX7</f>
        <v/>
      </c>
      <c r="CA20" t="str">
        <f>AX8</f>
        <v/>
      </c>
      <c r="CB20" t="str">
        <f>AX9</f>
        <v/>
      </c>
      <c r="CC20" t="str">
        <f>AX10</f>
        <v/>
      </c>
      <c r="CD20" t="str">
        <f>AX11</f>
        <v/>
      </c>
      <c r="CE20" t="str">
        <f>AX12</f>
        <v/>
      </c>
      <c r="CF20" t="str">
        <f>BC5</f>
        <v/>
      </c>
      <c r="CG20" t="str">
        <f>BC6</f>
        <v/>
      </c>
      <c r="CH20" t="str">
        <f>BC7</f>
        <v/>
      </c>
      <c r="CI20" t="str">
        <f>BC8</f>
        <v/>
      </c>
      <c r="CJ20" t="str">
        <f>BH5</f>
        <v/>
      </c>
      <c r="CK20" t="str">
        <f>BH6</f>
        <v/>
      </c>
      <c r="CL20" t="str">
        <f>BM5</f>
        <v/>
      </c>
      <c r="CN20" s="6">
        <v>17</v>
      </c>
      <c r="CO20" s="6" t="s">
        <v>873</v>
      </c>
      <c r="CP20" s="6" t="s">
        <v>67</v>
      </c>
      <c r="CR20" s="12" t="str">
        <f>A86</f>
        <v>ALEMANIA</v>
      </c>
      <c r="CS20" s="12" t="s">
        <v>17</v>
      </c>
      <c r="CT20" s="12">
        <f t="shared" ref="CT20:CW23" si="13">F86</f>
        <v>0</v>
      </c>
      <c r="CU20" s="12">
        <f t="shared" si="13"/>
        <v>0</v>
      </c>
      <c r="CV20" s="12">
        <f t="shared" si="13"/>
        <v>0</v>
      </c>
      <c r="CW20" s="12">
        <f t="shared" si="13"/>
        <v>0</v>
      </c>
      <c r="CX20" s="12">
        <f t="shared" si="1"/>
        <v>1.9999999999999999E-7</v>
      </c>
      <c r="CY20" s="12">
        <f t="shared" si="2"/>
        <v>32</v>
      </c>
      <c r="CZ20" s="12">
        <f t="shared" si="3"/>
        <v>1.9999999999999999E-7</v>
      </c>
      <c r="DA20" s="12">
        <f t="shared" si="4"/>
        <v>32</v>
      </c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</row>
    <row r="21" spans="1:118" x14ac:dyDescent="0.25">
      <c r="B21" s="2" t="s">
        <v>66</v>
      </c>
      <c r="C21" s="2" t="s">
        <v>169</v>
      </c>
      <c r="D21" s="2" t="s">
        <v>170</v>
      </c>
      <c r="E21" s="2" t="s">
        <v>171</v>
      </c>
      <c r="M21">
        <v>1</v>
      </c>
      <c r="N21" t="s">
        <v>105</v>
      </c>
      <c r="O21" t="s">
        <v>138</v>
      </c>
      <c r="P21" t="s">
        <v>131</v>
      </c>
      <c r="Q21" t="s">
        <v>111</v>
      </c>
      <c r="R21" t="s">
        <v>125</v>
      </c>
      <c r="S21" t="s">
        <v>119</v>
      </c>
      <c r="T21" t="s">
        <v>160</v>
      </c>
      <c r="U21" t="s">
        <v>156</v>
      </c>
      <c r="V21" t="s">
        <v>172</v>
      </c>
      <c r="AO21" s="1" t="s">
        <v>99</v>
      </c>
      <c r="AP21" s="1" t="str">
        <f>IF(COUNT(Quiniela!$E$57:$E$62,Quiniela!$I$57:$I$62)=0,"",INDEX($A$100:$A$103,MATCH(2,$K$100:$K$103,0)))</f>
        <v/>
      </c>
      <c r="BH21" t="str">
        <f>AT5</f>
        <v/>
      </c>
      <c r="BI21" t="str">
        <f>AT6</f>
        <v/>
      </c>
      <c r="BJ21" t="str">
        <f>AT7</f>
        <v/>
      </c>
      <c r="BK21" t="str">
        <f>AT8</f>
        <v/>
      </c>
      <c r="BL21" t="str">
        <f>AT9</f>
        <v/>
      </c>
      <c r="BM21" t="str">
        <f>AT10</f>
        <v/>
      </c>
      <c r="BN21" t="str">
        <f>AT11</f>
        <v/>
      </c>
      <c r="BO21" t="str">
        <f>AT12</f>
        <v/>
      </c>
      <c r="BP21" t="str">
        <f>AT13</f>
        <v/>
      </c>
      <c r="BQ21" t="str">
        <f>AT14</f>
        <v/>
      </c>
      <c r="BR21" t="str">
        <f>AT15</f>
        <v/>
      </c>
      <c r="BS21" t="str">
        <f>AT16</f>
        <v/>
      </c>
      <c r="BT21" t="str">
        <f>AT17</f>
        <v/>
      </c>
      <c r="BU21" t="str">
        <f>AT18</f>
        <v/>
      </c>
      <c r="BV21" t="str">
        <f>AT19</f>
        <v/>
      </c>
      <c r="BW21" t="str">
        <f>AT20</f>
        <v/>
      </c>
      <c r="BX21" t="str">
        <f>AY5</f>
        <v/>
      </c>
      <c r="BY21" t="str">
        <f>AY6</f>
        <v/>
      </c>
      <c r="BZ21" t="str">
        <f>AY7</f>
        <v/>
      </c>
      <c r="CA21" t="str">
        <f>AY8</f>
        <v/>
      </c>
      <c r="CB21" t="str">
        <f>AY9</f>
        <v/>
      </c>
      <c r="CC21" t="str">
        <f>AY10</f>
        <v/>
      </c>
      <c r="CD21" t="str">
        <f>AY11</f>
        <v/>
      </c>
      <c r="CE21" t="str">
        <f>AY12</f>
        <v/>
      </c>
      <c r="CF21" t="str">
        <f>BD5</f>
        <v/>
      </c>
      <c r="CG21" t="str">
        <f>BD6</f>
        <v/>
      </c>
      <c r="CH21" t="str">
        <f>BD7</f>
        <v/>
      </c>
      <c r="CI21" t="str">
        <f>BD8</f>
        <v/>
      </c>
      <c r="CJ21" t="str">
        <f>BI5</f>
        <v/>
      </c>
      <c r="CK21" t="str">
        <f>BI6</f>
        <v/>
      </c>
      <c r="CL21" t="str">
        <f>BN5</f>
        <v/>
      </c>
      <c r="CN21" s="6">
        <v>18</v>
      </c>
      <c r="CO21" s="6" t="s">
        <v>874</v>
      </c>
      <c r="CP21" s="6" t="s">
        <v>67</v>
      </c>
      <c r="CR21" s="12" t="str">
        <f>A87</f>
        <v>CURAZAO</v>
      </c>
      <c r="CS21" s="12" t="s">
        <v>17</v>
      </c>
      <c r="CT21" s="12">
        <f t="shared" si="13"/>
        <v>0</v>
      </c>
      <c r="CU21" s="12">
        <f t="shared" si="13"/>
        <v>0</v>
      </c>
      <c r="CV21" s="12">
        <f t="shared" si="13"/>
        <v>0</v>
      </c>
      <c r="CW21" s="12">
        <f t="shared" si="13"/>
        <v>0</v>
      </c>
      <c r="CX21" s="12">
        <f t="shared" si="1"/>
        <v>2.1E-7</v>
      </c>
      <c r="CY21" s="12">
        <f t="shared" si="2"/>
        <v>31</v>
      </c>
      <c r="CZ21" s="12">
        <f t="shared" si="3"/>
        <v>2.1E-7</v>
      </c>
      <c r="DA21" s="12">
        <f t="shared" si="4"/>
        <v>31</v>
      </c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</row>
    <row r="22" spans="1:118" x14ac:dyDescent="0.25">
      <c r="B22" s="1">
        <f>IF(Quiniela!E17="",0,IF(Quiniela!E17&gt;Quiniela!I17,Quiniela!D17,IF(Quiniela!I17&gt;Quiniela!E17,Quiniela!G17,"X")))</f>
        <v>0</v>
      </c>
      <c r="C22" s="1">
        <f>IF(Quiniela!E17="",0,IF(B22="X",0,IF(B22=Quiniela!D17,Quiniela!G17,Quiniela!D17)))</f>
        <v>0</v>
      </c>
      <c r="D22" s="1">
        <f>IF(B22="X",Quiniela!D17,0)</f>
        <v>0</v>
      </c>
      <c r="E22" s="1">
        <f>IF(B22="X",Quiniela!G17,0)</f>
        <v>0</v>
      </c>
      <c r="M22">
        <v>2</v>
      </c>
      <c r="N22" t="s">
        <v>125</v>
      </c>
      <c r="O22" t="s">
        <v>119</v>
      </c>
      <c r="P22" t="s">
        <v>131</v>
      </c>
      <c r="Q22" t="s">
        <v>96</v>
      </c>
      <c r="R22" t="s">
        <v>138</v>
      </c>
      <c r="S22" t="s">
        <v>111</v>
      </c>
      <c r="T22" t="s">
        <v>160</v>
      </c>
      <c r="U22" t="s">
        <v>156</v>
      </c>
      <c r="V22" t="s">
        <v>173</v>
      </c>
      <c r="AO22" s="1" t="s">
        <v>111</v>
      </c>
      <c r="AP22" s="1" t="str">
        <f>IF(COUNT(Quiniela!$E$57:$E$62,Quiniela!$I$57:$I$62)=0,"",INDEX($A$100:$A$103,MATCH(3,$K$100:$K$103,0)))</f>
        <v/>
      </c>
      <c r="CN22" s="6">
        <v>19</v>
      </c>
      <c r="CO22" s="6" t="s">
        <v>875</v>
      </c>
      <c r="CP22" s="6" t="s">
        <v>67</v>
      </c>
      <c r="CR22" s="12" t="str">
        <f>A88</f>
        <v>COSTA DE MARFIL</v>
      </c>
      <c r="CS22" s="12" t="s">
        <v>17</v>
      </c>
      <c r="CT22" s="12">
        <f t="shared" si="13"/>
        <v>0</v>
      </c>
      <c r="CU22" s="12">
        <f t="shared" si="13"/>
        <v>0</v>
      </c>
      <c r="CV22" s="12">
        <f t="shared" si="13"/>
        <v>0</v>
      </c>
      <c r="CW22" s="12">
        <f t="shared" si="13"/>
        <v>0</v>
      </c>
      <c r="CX22" s="12">
        <f t="shared" si="1"/>
        <v>2.2000000000000001E-7</v>
      </c>
      <c r="CY22" s="12">
        <f t="shared" si="2"/>
        <v>30</v>
      </c>
      <c r="CZ22" s="12">
        <f t="shared" si="3"/>
        <v>2.2000000000000001E-7</v>
      </c>
      <c r="DA22" s="12">
        <f t="shared" si="4"/>
        <v>30</v>
      </c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</row>
    <row r="23" spans="1:118" x14ac:dyDescent="0.25">
      <c r="B23" s="1">
        <f>IF(Quiniela!E18="",0,IF(Quiniela!E18&gt;Quiniela!I18,Quiniela!D18,IF(Quiniela!I18&gt;Quiniela!E18,Quiniela!G18,"X")))</f>
        <v>0</v>
      </c>
      <c r="C23" s="1">
        <f>IF(Quiniela!E18="",0,IF(B23="X",0,IF(B23=Quiniela!D18,Quiniela!G18,Quiniela!D18)))</f>
        <v>0</v>
      </c>
      <c r="D23" s="1">
        <f>IF(B23="X",Quiniela!D18,0)</f>
        <v>0</v>
      </c>
      <c r="E23" s="1">
        <f>IF(B23="X",Quiniela!G18,0)</f>
        <v>0</v>
      </c>
      <c r="M23">
        <v>3</v>
      </c>
      <c r="N23" t="s">
        <v>105</v>
      </c>
      <c r="O23" t="s">
        <v>138</v>
      </c>
      <c r="P23" t="s">
        <v>131</v>
      </c>
      <c r="Q23" t="s">
        <v>96</v>
      </c>
      <c r="R23" t="s">
        <v>125</v>
      </c>
      <c r="S23" t="s">
        <v>119</v>
      </c>
      <c r="T23" t="s">
        <v>160</v>
      </c>
      <c r="U23" t="s">
        <v>156</v>
      </c>
      <c r="V23" t="s">
        <v>174</v>
      </c>
      <c r="AO23" s="1" t="s">
        <v>141</v>
      </c>
      <c r="AP23" s="1" t="str">
        <f>IF(COUNT(Quiniela!$E$65:$E$70,Quiniela!$I$65:$I$70)=0,"",INDEX($A$114:$A$117,MATCH(1,$K$114:$K$117,0)))</f>
        <v/>
      </c>
      <c r="CN23" s="6">
        <v>20</v>
      </c>
      <c r="CO23" s="6" t="s">
        <v>876</v>
      </c>
      <c r="CP23" s="6" t="s">
        <v>67</v>
      </c>
      <c r="CR23" s="12" t="str">
        <f>A89</f>
        <v>ECUADOR</v>
      </c>
      <c r="CS23" s="12" t="s">
        <v>17</v>
      </c>
      <c r="CT23" s="12">
        <f t="shared" si="13"/>
        <v>0</v>
      </c>
      <c r="CU23" s="12">
        <f t="shared" si="13"/>
        <v>0</v>
      </c>
      <c r="CV23" s="12">
        <f t="shared" si="13"/>
        <v>0</v>
      </c>
      <c r="CW23" s="12">
        <f t="shared" si="13"/>
        <v>0</v>
      </c>
      <c r="CX23" s="12">
        <f t="shared" si="1"/>
        <v>2.2999999999999999E-7</v>
      </c>
      <c r="CY23" s="12">
        <f t="shared" si="2"/>
        <v>29</v>
      </c>
      <c r="CZ23" s="12">
        <f t="shared" si="3"/>
        <v>2.2999999999999999E-7</v>
      </c>
      <c r="DA23" s="12">
        <f t="shared" si="4"/>
        <v>29</v>
      </c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</row>
    <row r="24" spans="1:118" x14ac:dyDescent="0.25">
      <c r="B24" s="1">
        <f>IF(Quiniela!E19="",0,IF(Quiniela!E19&gt;Quiniela!I19,Quiniela!D19,IF(Quiniela!I19&gt;Quiniela!E19,Quiniela!G19,"X")))</f>
        <v>0</v>
      </c>
      <c r="C24" s="1">
        <f>IF(Quiniela!E19="",0,IF(B24="X",0,IF(B24=Quiniela!D19,Quiniela!G19,Quiniela!D19)))</f>
        <v>0</v>
      </c>
      <c r="D24" s="1">
        <f>IF(B24="X",Quiniela!D19,0)</f>
        <v>0</v>
      </c>
      <c r="E24" s="1">
        <f>IF(B24="X",Quiniela!G19,0)</f>
        <v>0</v>
      </c>
      <c r="M24">
        <v>4</v>
      </c>
      <c r="N24" t="s">
        <v>105</v>
      </c>
      <c r="O24" t="s">
        <v>138</v>
      </c>
      <c r="P24" t="s">
        <v>131</v>
      </c>
      <c r="Q24" t="s">
        <v>96</v>
      </c>
      <c r="R24" t="s">
        <v>125</v>
      </c>
      <c r="S24" t="s">
        <v>111</v>
      </c>
      <c r="T24" t="s">
        <v>160</v>
      </c>
      <c r="U24" t="s">
        <v>156</v>
      </c>
      <c r="V24" t="s">
        <v>175</v>
      </c>
      <c r="AO24" s="1" t="s">
        <v>168</v>
      </c>
      <c r="AP24" s="1" t="str">
        <f>IF(COUNT(Quiniela!$E$65:$E$70,Quiniela!$I$65:$I$70)=0,"",INDEX($A$114:$A$117,MATCH(2,$K$114:$K$117,0)))</f>
        <v/>
      </c>
      <c r="CN24" s="6">
        <v>21</v>
      </c>
      <c r="CO24" s="6" t="s">
        <v>877</v>
      </c>
      <c r="CP24" s="6" t="s">
        <v>67</v>
      </c>
      <c r="CR24" s="12" t="str">
        <f>A100</f>
        <v>PAISES BAJOS</v>
      </c>
      <c r="CS24" s="12" t="s">
        <v>100</v>
      </c>
      <c r="CT24" s="12">
        <f t="shared" ref="CT24:CW27" si="14">F100</f>
        <v>0</v>
      </c>
      <c r="CU24" s="12">
        <f t="shared" si="14"/>
        <v>0</v>
      </c>
      <c r="CV24" s="12">
        <f t="shared" si="14"/>
        <v>0</v>
      </c>
      <c r="CW24" s="12">
        <f t="shared" si="14"/>
        <v>0</v>
      </c>
      <c r="CX24" s="12">
        <f t="shared" si="1"/>
        <v>2.3999999999999998E-7</v>
      </c>
      <c r="CY24" s="12">
        <f t="shared" si="2"/>
        <v>28</v>
      </c>
      <c r="CZ24" s="12">
        <f t="shared" si="3"/>
        <v>2.3999999999999998E-7</v>
      </c>
      <c r="DA24" s="12">
        <f t="shared" si="4"/>
        <v>28</v>
      </c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</row>
    <row r="25" spans="1:118" x14ac:dyDescent="0.25">
      <c r="B25" s="1">
        <f>IF(Quiniela!E20="",0,IF(Quiniela!E20&gt;Quiniela!I20,Quiniela!D20,IF(Quiniela!I20&gt;Quiniela!E20,Quiniela!G20,"X")))</f>
        <v>0</v>
      </c>
      <c r="C25" s="1">
        <f>IF(Quiniela!E20="",0,IF(B25="X",0,IF(B25=Quiniela!D20,Quiniela!G20,Quiniela!D20)))</f>
        <v>0</v>
      </c>
      <c r="D25" s="1">
        <f>IF(B25="X",Quiniela!D20,0)</f>
        <v>0</v>
      </c>
      <c r="E25" s="1">
        <f>IF(B25="X",Quiniela!G20,0)</f>
        <v>0</v>
      </c>
      <c r="M25">
        <v>5</v>
      </c>
      <c r="N25" t="s">
        <v>105</v>
      </c>
      <c r="O25" t="s">
        <v>119</v>
      </c>
      <c r="P25" t="s">
        <v>131</v>
      </c>
      <c r="Q25" t="s">
        <v>96</v>
      </c>
      <c r="R25" t="s">
        <v>138</v>
      </c>
      <c r="S25" t="s">
        <v>111</v>
      </c>
      <c r="T25" t="s">
        <v>160</v>
      </c>
      <c r="U25" t="s">
        <v>156</v>
      </c>
      <c r="V25" t="s">
        <v>176</v>
      </c>
      <c r="AO25" s="1" t="s">
        <v>119</v>
      </c>
      <c r="AP25" s="1" t="str">
        <f>IF(COUNT(Quiniela!$E$65:$E$70,Quiniela!$I$65:$I$70)=0,"",INDEX($A$114:$A$117,MATCH(3,$K$114:$K$117,0)))</f>
        <v/>
      </c>
      <c r="CN25" s="6">
        <v>22</v>
      </c>
      <c r="CO25" s="6" t="s">
        <v>957</v>
      </c>
      <c r="CP25" s="6" t="s">
        <v>67</v>
      </c>
      <c r="CR25" s="12" t="str">
        <f>A101</f>
        <v>JAPON</v>
      </c>
      <c r="CS25" s="12" t="s">
        <v>100</v>
      </c>
      <c r="CT25" s="12">
        <f t="shared" si="14"/>
        <v>0</v>
      </c>
      <c r="CU25" s="12">
        <f t="shared" si="14"/>
        <v>0</v>
      </c>
      <c r="CV25" s="12">
        <f t="shared" si="14"/>
        <v>0</v>
      </c>
      <c r="CW25" s="12">
        <f t="shared" si="14"/>
        <v>0</v>
      </c>
      <c r="CX25" s="12">
        <f t="shared" si="1"/>
        <v>2.4999999999999999E-7</v>
      </c>
      <c r="CY25" s="12">
        <f t="shared" si="2"/>
        <v>27</v>
      </c>
      <c r="CZ25" s="12">
        <f t="shared" si="3"/>
        <v>2.4999999999999999E-7</v>
      </c>
      <c r="DA25" s="12">
        <f t="shared" si="4"/>
        <v>27</v>
      </c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</row>
    <row r="26" spans="1:118" x14ac:dyDescent="0.25">
      <c r="B26" s="1">
        <f>IF(Quiniela!E21="",0,IF(Quiniela!E21&gt;Quiniela!I21,Quiniela!D21,IF(Quiniela!I21&gt;Quiniela!E21,Quiniela!G21,"X")))</f>
        <v>0</v>
      </c>
      <c r="C26" s="1">
        <f>IF(Quiniela!E21="",0,IF(B26="X",0,IF(B26=Quiniela!D21,Quiniela!G21,Quiniela!D21)))</f>
        <v>0</v>
      </c>
      <c r="D26" s="1">
        <f>IF(B26="X",Quiniela!D21,0)</f>
        <v>0</v>
      </c>
      <c r="E26" s="1">
        <f>IF(B26="X",Quiniela!G21,0)</f>
        <v>0</v>
      </c>
      <c r="M26">
        <v>6</v>
      </c>
      <c r="N26" t="s">
        <v>105</v>
      </c>
      <c r="O26" t="s">
        <v>119</v>
      </c>
      <c r="P26" t="s">
        <v>138</v>
      </c>
      <c r="Q26" t="s">
        <v>96</v>
      </c>
      <c r="R26" t="s">
        <v>125</v>
      </c>
      <c r="S26" t="s">
        <v>111</v>
      </c>
      <c r="T26" t="s">
        <v>160</v>
      </c>
      <c r="U26" t="s">
        <v>156</v>
      </c>
      <c r="V26" t="s">
        <v>177</v>
      </c>
      <c r="AO26" s="1" t="s">
        <v>161</v>
      </c>
      <c r="AP26" s="1" t="str">
        <f>IF(COUNT(Quiniela!$E$73:$E$78,Quiniela!$I$73:$I$78)=0,"",INDEX($A$128:$A$131,MATCH(1,$K$128:$K$131,0)))</f>
        <v/>
      </c>
      <c r="CN26" s="6">
        <v>23</v>
      </c>
      <c r="CO26" s="6" t="s">
        <v>878</v>
      </c>
      <c r="CP26" s="6" t="s">
        <v>67</v>
      </c>
      <c r="CR26" s="12" t="str">
        <f>A102</f>
        <v>SUECIA</v>
      </c>
      <c r="CS26" s="12" t="s">
        <v>100</v>
      </c>
      <c r="CT26" s="12">
        <f t="shared" si="14"/>
        <v>0</v>
      </c>
      <c r="CU26" s="12">
        <f t="shared" si="14"/>
        <v>0</v>
      </c>
      <c r="CV26" s="12">
        <f t="shared" si="14"/>
        <v>0</v>
      </c>
      <c r="CW26" s="12">
        <f t="shared" si="14"/>
        <v>0</v>
      </c>
      <c r="CX26" s="12">
        <f t="shared" si="1"/>
        <v>2.6E-7</v>
      </c>
      <c r="CY26" s="12">
        <f t="shared" si="2"/>
        <v>26</v>
      </c>
      <c r="CZ26" s="12">
        <f t="shared" si="3"/>
        <v>2.6E-7</v>
      </c>
      <c r="DA26" s="12">
        <f t="shared" si="4"/>
        <v>26</v>
      </c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</row>
    <row r="27" spans="1:118" x14ac:dyDescent="0.25">
      <c r="B27" s="1">
        <f>IF(Quiniela!E22="",0,IF(Quiniela!E22&gt;Quiniela!I22,Quiniela!D22,IF(Quiniela!I22&gt;Quiniela!E22,Quiniela!G22,"X")))</f>
        <v>0</v>
      </c>
      <c r="C27" s="1">
        <f>IF(Quiniela!E22="",0,IF(B27="X",0,IF(B27=Quiniela!D22,Quiniela!G22,Quiniela!D22)))</f>
        <v>0</v>
      </c>
      <c r="D27" s="1">
        <f>IF(B27="X",Quiniela!D22,0)</f>
        <v>0</v>
      </c>
      <c r="E27" s="1">
        <f>IF(B27="X",Quiniela!G22,0)</f>
        <v>0</v>
      </c>
      <c r="M27">
        <v>7</v>
      </c>
      <c r="N27" t="s">
        <v>105</v>
      </c>
      <c r="O27" t="s">
        <v>119</v>
      </c>
      <c r="P27" t="s">
        <v>131</v>
      </c>
      <c r="Q27" t="s">
        <v>96</v>
      </c>
      <c r="R27" t="s">
        <v>125</v>
      </c>
      <c r="S27" t="s">
        <v>111</v>
      </c>
      <c r="T27" t="s">
        <v>160</v>
      </c>
      <c r="U27" t="s">
        <v>156</v>
      </c>
      <c r="V27" t="s">
        <v>178</v>
      </c>
      <c r="AO27" s="1" t="s">
        <v>164</v>
      </c>
      <c r="AP27" s="1" t="str">
        <f>IF(COUNT(Quiniela!$E$73:$E$78,Quiniela!$I$73:$I$78)=0,"",INDEX($A$128:$A$131,MATCH(2,$K$128:$K$131,0)))</f>
        <v/>
      </c>
      <c r="CN27" s="6">
        <v>24</v>
      </c>
      <c r="CO27" s="6" t="s">
        <v>879</v>
      </c>
      <c r="CP27" s="6" t="s">
        <v>67</v>
      </c>
      <c r="CR27" s="12" t="str">
        <f>A103</f>
        <v>TUNEZ</v>
      </c>
      <c r="CS27" s="12" t="s">
        <v>100</v>
      </c>
      <c r="CT27" s="12">
        <f t="shared" si="14"/>
        <v>0</v>
      </c>
      <c r="CU27" s="12">
        <f t="shared" si="14"/>
        <v>0</v>
      </c>
      <c r="CV27" s="12">
        <f t="shared" si="14"/>
        <v>0</v>
      </c>
      <c r="CW27" s="12">
        <f t="shared" si="14"/>
        <v>0</v>
      </c>
      <c r="CX27" s="12">
        <f t="shared" si="1"/>
        <v>2.7000000000000001E-7</v>
      </c>
      <c r="CY27" s="12">
        <f t="shared" si="2"/>
        <v>25</v>
      </c>
      <c r="CZ27" s="12">
        <f t="shared" si="3"/>
        <v>2.7000000000000001E-7</v>
      </c>
      <c r="DA27" s="12">
        <f t="shared" si="4"/>
        <v>25</v>
      </c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10"/>
      <c r="DN27" s="10"/>
    </row>
    <row r="28" spans="1:118" x14ac:dyDescent="0.25">
      <c r="M28">
        <v>8</v>
      </c>
      <c r="N28" t="s">
        <v>105</v>
      </c>
      <c r="O28" t="s">
        <v>119</v>
      </c>
      <c r="P28" t="s">
        <v>138</v>
      </c>
      <c r="Q28" t="s">
        <v>96</v>
      </c>
      <c r="R28" t="s">
        <v>125</v>
      </c>
      <c r="S28" t="s">
        <v>111</v>
      </c>
      <c r="T28" t="s">
        <v>160</v>
      </c>
      <c r="U28" t="s">
        <v>131</v>
      </c>
      <c r="V28" t="s">
        <v>179</v>
      </c>
      <c r="AO28" s="1" t="s">
        <v>125</v>
      </c>
      <c r="AP28" s="1" t="str">
        <f>IF(COUNT(Quiniela!$E$73:$E$78,Quiniela!$I$73:$I$78)=0,"",INDEX($A$128:$A$131,MATCH(3,$K$128:$K$131,0)))</f>
        <v/>
      </c>
      <c r="CN28" s="6">
        <v>25</v>
      </c>
      <c r="CO28" s="6" t="s">
        <v>880</v>
      </c>
      <c r="CP28" s="6" t="s">
        <v>67</v>
      </c>
      <c r="CR28" s="12" t="str">
        <f>A114</f>
        <v>BELGICA</v>
      </c>
      <c r="CS28" s="12" t="s">
        <v>15</v>
      </c>
      <c r="CT28" s="12">
        <f t="shared" ref="CT28:CW31" si="15">F114</f>
        <v>0</v>
      </c>
      <c r="CU28" s="12">
        <f t="shared" si="15"/>
        <v>0</v>
      </c>
      <c r="CV28" s="12">
        <f t="shared" si="15"/>
        <v>0</v>
      </c>
      <c r="CW28" s="12">
        <f t="shared" si="15"/>
        <v>0</v>
      </c>
      <c r="CX28" s="12">
        <f t="shared" si="1"/>
        <v>2.8000000000000002E-7</v>
      </c>
      <c r="CY28" s="12">
        <f t="shared" si="2"/>
        <v>24</v>
      </c>
      <c r="CZ28" s="12">
        <f t="shared" si="3"/>
        <v>2.8000000000000002E-7</v>
      </c>
      <c r="DA28" s="12">
        <f t="shared" si="4"/>
        <v>24</v>
      </c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</row>
    <row r="29" spans="1:118" x14ac:dyDescent="0.25">
      <c r="A29" s="3" t="s">
        <v>13</v>
      </c>
      <c r="B29" s="3" t="s">
        <v>14</v>
      </c>
      <c r="C29" s="3" t="s">
        <v>15</v>
      </c>
      <c r="D29" s="3" t="s">
        <v>16</v>
      </c>
      <c r="E29" s="3" t="s">
        <v>17</v>
      </c>
      <c r="F29" s="3" t="s">
        <v>18</v>
      </c>
      <c r="G29" s="3" t="s">
        <v>59</v>
      </c>
      <c r="H29" s="3" t="s">
        <v>180</v>
      </c>
      <c r="I29" s="3" t="s">
        <v>19</v>
      </c>
      <c r="J29" s="3" t="s">
        <v>60</v>
      </c>
      <c r="K29" s="3" t="s">
        <v>12</v>
      </c>
      <c r="M29">
        <v>9</v>
      </c>
      <c r="N29" t="s">
        <v>105</v>
      </c>
      <c r="O29" t="s">
        <v>119</v>
      </c>
      <c r="P29" t="s">
        <v>138</v>
      </c>
      <c r="Q29" t="s">
        <v>96</v>
      </c>
      <c r="R29" t="s">
        <v>125</v>
      </c>
      <c r="S29" t="s">
        <v>111</v>
      </c>
      <c r="T29" t="s">
        <v>131</v>
      </c>
      <c r="U29" t="s">
        <v>156</v>
      </c>
      <c r="V29" t="s">
        <v>181</v>
      </c>
      <c r="AO29" s="1" t="s">
        <v>106</v>
      </c>
      <c r="AP29" s="1" t="str">
        <f>IF(COUNT(Quiniela!$E$81:$E$86,Quiniela!$I$81:$I$86)=0,"",INDEX($A$142:$A$145,MATCH(1,$K$142:$K$145,0)))</f>
        <v/>
      </c>
      <c r="CN29" s="6">
        <v>26</v>
      </c>
      <c r="CO29" s="6" t="s">
        <v>881</v>
      </c>
      <c r="CP29" s="6" t="s">
        <v>67</v>
      </c>
      <c r="CR29" s="12" t="str">
        <f>A115</f>
        <v>EGIPTO</v>
      </c>
      <c r="CS29" s="12" t="s">
        <v>15</v>
      </c>
      <c r="CT29" s="12">
        <f t="shared" si="15"/>
        <v>0</v>
      </c>
      <c r="CU29" s="12">
        <f t="shared" si="15"/>
        <v>0</v>
      </c>
      <c r="CV29" s="12">
        <f t="shared" si="15"/>
        <v>0</v>
      </c>
      <c r="CW29" s="12">
        <f t="shared" si="15"/>
        <v>0</v>
      </c>
      <c r="CX29" s="12">
        <f t="shared" si="1"/>
        <v>2.8999999999999998E-7</v>
      </c>
      <c r="CY29" s="12">
        <f t="shared" si="2"/>
        <v>23</v>
      </c>
      <c r="CZ29" s="12">
        <f t="shared" si="3"/>
        <v>2.8999999999999998E-7</v>
      </c>
      <c r="DA29" s="12">
        <f t="shared" si="4"/>
        <v>23</v>
      </c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0"/>
      <c r="DM29" s="10"/>
      <c r="DN29" s="10"/>
    </row>
    <row r="30" spans="1:118" x14ac:dyDescent="0.25">
      <c r="A30" s="1" t="str">
        <f>B4</f>
        <v>MEXICO</v>
      </c>
      <c r="B30" s="1">
        <f>SUMPRODUCT((Quiniela!D17:D22=A30)*(Quiniela!E17:E22&lt;&gt;""))+SUMPRODUCT((Quiniela!G17:G22=A30)*(Quiniela!I17:I22&lt;&gt;""))</f>
        <v>0</v>
      </c>
      <c r="C30" s="1">
        <f>SUMPRODUCT(((Quiniela!D17:D22=A30)*(Quiniela!E17:E22&gt;Quiniela!I17:I22))+((Quiniela!G17:G22=A30)*(Quiniela!I17:I22&gt;Quiniela!E17:E22)))</f>
        <v>0</v>
      </c>
      <c r="D30" s="1">
        <f>SUMPRODUCT(((Quiniela!D17:D22=A30)*(Quiniela!E17:E22&lt;Quiniela!I17:I22))+((Quiniela!G17:G22=A30)*(Quiniela!I17:I22&lt;Quiniela!E17:E22)))</f>
        <v>0</v>
      </c>
      <c r="E30" s="1">
        <f>SUMPRODUCT(((Quiniela!D17:D22=A30)*(Quiniela!E17:E22=Quiniela!I17:I22)*(Quiniela!E17:E22&lt;&gt;""))+((Quiniela!G17:G22=A30)*(Quiniela!I17:I22=Quiniela!E17:E22)*(Quiniela!I17:I22&lt;&gt;"")))</f>
        <v>0</v>
      </c>
      <c r="F30" s="1">
        <f>C30*3+E30</f>
        <v>0</v>
      </c>
      <c r="G30" s="1">
        <f>SUMIF(Quiniela!D17:D22,A30,Quiniela!E17:E22)+SUMIF(Quiniela!G17:G22,A30,Quiniela!I17:I22)</f>
        <v>0</v>
      </c>
      <c r="H30" s="1">
        <f>SUMIF(Quiniela!D17:D22,A30,Quiniela!I17:I22)+SUMIF(Quiniela!G17:G22,A30,Quiniela!E17:E22)</f>
        <v>0</v>
      </c>
      <c r="I30" s="1">
        <f>G30-H30</f>
        <v>0</v>
      </c>
      <c r="J30" s="1">
        <f>F30+I30/100+G30/10000+0.0000004</f>
        <v>3.9999999999999998E-7</v>
      </c>
      <c r="K30" s="1">
        <f>RANK(J30,$J$30:$J$33,0)</f>
        <v>1</v>
      </c>
      <c r="M30">
        <v>10</v>
      </c>
      <c r="N30" t="s">
        <v>125</v>
      </c>
      <c r="O30" t="s">
        <v>119</v>
      </c>
      <c r="P30" t="s">
        <v>131</v>
      </c>
      <c r="Q30" t="s">
        <v>89</v>
      </c>
      <c r="R30" t="s">
        <v>138</v>
      </c>
      <c r="S30" t="s">
        <v>111</v>
      </c>
      <c r="T30" t="s">
        <v>160</v>
      </c>
      <c r="U30" t="s">
        <v>156</v>
      </c>
      <c r="V30" t="s">
        <v>182</v>
      </c>
      <c r="AO30" s="1" t="s">
        <v>113</v>
      </c>
      <c r="AP30" s="1" t="str">
        <f>IF(COUNT(Quiniela!$E$81:$E$86,Quiniela!$I$81:$I$86)=0,"",INDEX($A$142:$A$145,MATCH(2,$K$142:$K$145,0)))</f>
        <v/>
      </c>
      <c r="CN30" s="6">
        <v>27</v>
      </c>
      <c r="CO30" s="6" t="s">
        <v>883</v>
      </c>
      <c r="CP30" s="6" t="s">
        <v>67</v>
      </c>
      <c r="CR30" s="12" t="str">
        <f>A116</f>
        <v>IRAN</v>
      </c>
      <c r="CS30" s="12" t="s">
        <v>15</v>
      </c>
      <c r="CT30" s="12">
        <f t="shared" si="15"/>
        <v>0</v>
      </c>
      <c r="CU30" s="12">
        <f t="shared" si="15"/>
        <v>0</v>
      </c>
      <c r="CV30" s="12">
        <f t="shared" si="15"/>
        <v>0</v>
      </c>
      <c r="CW30" s="12">
        <f t="shared" si="15"/>
        <v>0</v>
      </c>
      <c r="CX30" s="12">
        <f t="shared" si="1"/>
        <v>2.9999999999999999E-7</v>
      </c>
      <c r="CY30" s="12">
        <f t="shared" si="2"/>
        <v>22</v>
      </c>
      <c r="CZ30" s="12">
        <f t="shared" si="3"/>
        <v>2.9999999999999999E-7</v>
      </c>
      <c r="DA30" s="12">
        <f t="shared" si="4"/>
        <v>22</v>
      </c>
      <c r="DB30" s="10"/>
      <c r="DC30" s="10"/>
      <c r="DD30" s="10"/>
      <c r="DE30" s="10"/>
      <c r="DF30" s="10"/>
      <c r="DG30" s="10"/>
      <c r="DH30" s="10"/>
      <c r="DI30" s="10"/>
      <c r="DJ30" s="10"/>
      <c r="DK30" s="10"/>
      <c r="DL30" s="10"/>
      <c r="DM30" s="10"/>
      <c r="DN30" s="10"/>
    </row>
    <row r="31" spans="1:118" x14ac:dyDescent="0.25">
      <c r="A31" s="1" t="str">
        <f>C4</f>
        <v>SUDAFRICA</v>
      </c>
      <c r="B31" s="1">
        <f>SUMPRODUCT((Quiniela!D17:D22=A31)*(Quiniela!E17:E22&lt;&gt;""))+SUMPRODUCT((Quiniela!G17:G22=A31)*(Quiniela!I17:I22&lt;&gt;""))</f>
        <v>0</v>
      </c>
      <c r="C31" s="1">
        <f>SUMPRODUCT(((Quiniela!D17:D22=A31)*(Quiniela!E17:E22&gt;Quiniela!I17:I22))+((Quiniela!G17:G22=A31)*(Quiniela!I17:I22&gt;Quiniela!E17:E22)))</f>
        <v>0</v>
      </c>
      <c r="D31" s="1">
        <f>SUMPRODUCT(((Quiniela!D17:D22=A31)*(Quiniela!E17:E22&lt;Quiniela!I17:I22))+((Quiniela!G17:G22=A31)*(Quiniela!I17:I22&lt;Quiniela!E17:E22)))</f>
        <v>0</v>
      </c>
      <c r="E31" s="1">
        <f>SUMPRODUCT(((Quiniela!D17:D22=A31)*(Quiniela!E17:E22=Quiniela!I17:I22)*(Quiniela!E17:E22&lt;&gt;""))+((Quiniela!G17:G22=A31)*(Quiniela!I17:I22=Quiniela!E17:E22)*(Quiniela!I17:I22&lt;&gt;"")))</f>
        <v>0</v>
      </c>
      <c r="F31" s="1">
        <f>C31*3+E31</f>
        <v>0</v>
      </c>
      <c r="G31" s="1">
        <f>SUMIF(Quiniela!$D$17:$D$22,A31,Quiniela!$E$17:$E$22)+SUMIF(Quiniela!$G$17:$G$22,A31,Quiniela!$I$17:$I$22)</f>
        <v>0</v>
      </c>
      <c r="H31" s="1">
        <f>SUMIF(Quiniela!$D$17:$D$22,A31,Quiniela!$I$17:$I$22)+SUMIF(Quiniela!$G$17:$G$22,A31,Quiniela!$E$17:$E$22)</f>
        <v>0</v>
      </c>
      <c r="I31" s="1">
        <f>G31-H31</f>
        <v>0</v>
      </c>
      <c r="J31" s="1">
        <f>F31+I31/100+G31/10000+0.0000003</f>
        <v>2.9999999999999999E-7</v>
      </c>
      <c r="K31" s="1">
        <f>RANK(J31,$J$30:$J$33,0)</f>
        <v>2</v>
      </c>
      <c r="M31">
        <v>11</v>
      </c>
      <c r="N31" t="s">
        <v>105</v>
      </c>
      <c r="O31" t="s">
        <v>138</v>
      </c>
      <c r="P31" t="s">
        <v>131</v>
      </c>
      <c r="Q31" t="s">
        <v>89</v>
      </c>
      <c r="R31" t="s">
        <v>125</v>
      </c>
      <c r="S31" t="s">
        <v>119</v>
      </c>
      <c r="T31" t="s">
        <v>160</v>
      </c>
      <c r="U31" t="s">
        <v>156</v>
      </c>
      <c r="V31" t="s">
        <v>183</v>
      </c>
      <c r="AO31" s="1" t="s">
        <v>131</v>
      </c>
      <c r="AP31" s="1" t="str">
        <f>IF(COUNT(Quiniela!$E$81:$E$86,Quiniela!$I$81:$I$86)=0,"",INDEX($A$142:$A$145,MATCH(3,$K$142:$K$145,0)))</f>
        <v/>
      </c>
      <c r="CN31" s="6">
        <v>28</v>
      </c>
      <c r="CO31" s="6" t="s">
        <v>882</v>
      </c>
      <c r="CP31" s="6" t="s">
        <v>67</v>
      </c>
      <c r="CR31" s="12" t="str">
        <f>A117</f>
        <v>NUEVA ZELANDA</v>
      </c>
      <c r="CS31" s="12" t="s">
        <v>15</v>
      </c>
      <c r="CT31" s="12">
        <f t="shared" si="15"/>
        <v>0</v>
      </c>
      <c r="CU31" s="12">
        <f t="shared" si="15"/>
        <v>0</v>
      </c>
      <c r="CV31" s="12">
        <f t="shared" si="15"/>
        <v>0</v>
      </c>
      <c r="CW31" s="12">
        <f t="shared" si="15"/>
        <v>0</v>
      </c>
      <c r="CX31" s="12">
        <f t="shared" si="1"/>
        <v>3.1E-7</v>
      </c>
      <c r="CY31" s="12">
        <f t="shared" si="2"/>
        <v>21</v>
      </c>
      <c r="CZ31" s="12">
        <f t="shared" si="3"/>
        <v>3.1E-7</v>
      </c>
      <c r="DA31" s="12">
        <f t="shared" si="4"/>
        <v>21</v>
      </c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</row>
    <row r="32" spans="1:118" x14ac:dyDescent="0.25">
      <c r="A32" s="1" t="str">
        <f>D4</f>
        <v>COREA DEL SUR</v>
      </c>
      <c r="B32" s="1">
        <f>SUMPRODUCT((Quiniela!D17:D22=A32)*(Quiniela!E17:E22&lt;&gt;""))+SUMPRODUCT((Quiniela!G17:G22=A32)*(Quiniela!I17:I22&lt;&gt;""))</f>
        <v>0</v>
      </c>
      <c r="C32" s="1">
        <f>SUMPRODUCT(((Quiniela!D17:D22=A32)*(Quiniela!E17:E22&gt;Quiniela!I17:I22))+((Quiniela!G17:G22=A32)*(Quiniela!I17:I22&gt;Quiniela!E17:E22)))</f>
        <v>0</v>
      </c>
      <c r="D32" s="1">
        <f>SUMPRODUCT(((Quiniela!D17:D22=A32)*(Quiniela!E17:E22&lt;Quiniela!I17:I22))+((Quiniela!G17:G22=A32)*(Quiniela!I17:I22&lt;Quiniela!E17:E22)))</f>
        <v>0</v>
      </c>
      <c r="E32" s="1">
        <f>SUMPRODUCT(((Quiniela!D17:D22=A32)*(Quiniela!E17:E22=Quiniela!I17:I22)*(Quiniela!E17:E22&lt;&gt;""))+((Quiniela!G17:G22=A32)*(Quiniela!I17:I22=Quiniela!E17:E22)*(Quiniela!I17:I22&lt;&gt;"")))</f>
        <v>0</v>
      </c>
      <c r="F32" s="1">
        <f>C32*3+E32</f>
        <v>0</v>
      </c>
      <c r="G32" s="1">
        <f>SUMIF(Quiniela!$D$17:$D$22,A32,Quiniela!$E$17:$E$22)+SUMIF(Quiniela!$G$17:$G$22,A32,Quiniela!$I$17:$I$22)</f>
        <v>0</v>
      </c>
      <c r="H32" s="1">
        <f>SUMIF(Quiniela!$D$17:$D$22,A32,Quiniela!$I$17:$I$22)+SUMIF(Quiniela!$G$17:$G$22,A32,Quiniela!$E$17:$E$22)</f>
        <v>0</v>
      </c>
      <c r="I32" s="1">
        <f>G32-H32</f>
        <v>0</v>
      </c>
      <c r="J32" s="1">
        <f>F32+I32/100+G32/10000+0.0000002</f>
        <v>1.9999999999999999E-7</v>
      </c>
      <c r="K32" s="1">
        <f>RANK(J32,$J$30:$J$33,0)</f>
        <v>3</v>
      </c>
      <c r="M32">
        <v>12</v>
      </c>
      <c r="N32" t="s">
        <v>105</v>
      </c>
      <c r="O32" t="s">
        <v>138</v>
      </c>
      <c r="P32" t="s">
        <v>131</v>
      </c>
      <c r="Q32" t="s">
        <v>89</v>
      </c>
      <c r="R32" t="s">
        <v>125</v>
      </c>
      <c r="S32" t="s">
        <v>111</v>
      </c>
      <c r="T32" t="s">
        <v>160</v>
      </c>
      <c r="U32" t="s">
        <v>156</v>
      </c>
      <c r="V32" t="s">
        <v>184</v>
      </c>
      <c r="AO32" s="1" t="s">
        <v>163</v>
      </c>
      <c r="AP32" s="1" t="str">
        <f>IF(COUNT(Quiniela!$E$89:$E$94,Quiniela!$I$89:$I$94)=0,"",INDEX($A$156:$A$159,MATCH(1,$K$156:$K$159,0)))</f>
        <v/>
      </c>
      <c r="CN32" s="6">
        <v>29</v>
      </c>
      <c r="CO32" s="6" t="s">
        <v>885</v>
      </c>
      <c r="CP32" s="6" t="s">
        <v>67</v>
      </c>
      <c r="CR32" s="12" t="str">
        <f>A128</f>
        <v>ESPAÑA</v>
      </c>
      <c r="CS32" s="12" t="s">
        <v>114</v>
      </c>
      <c r="CT32" s="12">
        <f t="shared" ref="CT32:CW35" si="16">F128</f>
        <v>0</v>
      </c>
      <c r="CU32" s="12">
        <f t="shared" si="16"/>
        <v>0</v>
      </c>
      <c r="CV32" s="12">
        <f t="shared" si="16"/>
        <v>0</v>
      </c>
      <c r="CW32" s="12">
        <f t="shared" si="16"/>
        <v>0</v>
      </c>
      <c r="CX32" s="12">
        <f t="shared" si="1"/>
        <v>3.2000000000000001E-7</v>
      </c>
      <c r="CY32" s="12">
        <f t="shared" si="2"/>
        <v>20</v>
      </c>
      <c r="CZ32" s="12">
        <f t="shared" si="3"/>
        <v>3.2000000000000001E-7</v>
      </c>
      <c r="DA32" s="12">
        <f t="shared" si="4"/>
        <v>20</v>
      </c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</row>
    <row r="33" spans="1:118" x14ac:dyDescent="0.25">
      <c r="A33" s="1" t="str">
        <f>E4</f>
        <v>CHEQUIA</v>
      </c>
      <c r="B33" s="1">
        <f>SUMPRODUCT((Quiniela!D17:D22=A33)*(Quiniela!E17:E22&lt;&gt;""))+SUMPRODUCT((Quiniela!G17:G22=A33)*(Quiniela!I17:I22&lt;&gt;""))</f>
        <v>0</v>
      </c>
      <c r="C33" s="1">
        <f>SUMPRODUCT(((Quiniela!D17:D22=A33)*(Quiniela!E17:E22&gt;Quiniela!I17:I22))+((Quiniela!G17:G22=A33)*(Quiniela!I17:I22&gt;Quiniela!E17:E22)))</f>
        <v>0</v>
      </c>
      <c r="D33" s="1">
        <f>SUMPRODUCT(((Quiniela!D17:D22=A33)*(Quiniela!E17:E22&lt;Quiniela!I17:I22))+((Quiniela!G17:G22=A33)*(Quiniela!I17:I22&lt;Quiniela!E17:E22)))</f>
        <v>0</v>
      </c>
      <c r="E33" s="1">
        <f>SUMPRODUCT(((Quiniela!D17:D22=A33)*(Quiniela!E17:E22=Quiniela!I17:I22)*(Quiniela!E17:E22&lt;&gt;""))+((Quiniela!G17:G22=A33)*(Quiniela!I17:I22=Quiniela!E17:E22)*(Quiniela!I17:I22&lt;&gt;"")))</f>
        <v>0</v>
      </c>
      <c r="F33" s="1">
        <f>C33*3+E33</f>
        <v>0</v>
      </c>
      <c r="G33" s="1">
        <f>SUMIF(Quiniela!$D$17:$D$22,A33,Quiniela!$E$17:$E$22)+SUMIF(Quiniela!$G$17:$G$22,A33,Quiniela!$I$17:$I$22)</f>
        <v>0</v>
      </c>
      <c r="H33" s="1">
        <f>SUMIF(Quiniela!$D$17:$D$22,A33,Quiniela!$I$17:$I$22)+SUMIF(Quiniela!$G$17:$G$22,A33,Quiniela!$E$17:$E$22)</f>
        <v>0</v>
      </c>
      <c r="I33" s="1">
        <f>G33-H33</f>
        <v>0</v>
      </c>
      <c r="J33" s="1">
        <f>F33+I33/100+G33/10000+0.0000001</f>
        <v>9.9999999999999995E-8</v>
      </c>
      <c r="K33" s="1">
        <f>RANK(J33,$J$30:$J$33,0)</f>
        <v>4</v>
      </c>
      <c r="M33">
        <v>13</v>
      </c>
      <c r="N33" t="s">
        <v>105</v>
      </c>
      <c r="O33" t="s">
        <v>119</v>
      </c>
      <c r="P33" t="s">
        <v>131</v>
      </c>
      <c r="Q33" t="s">
        <v>89</v>
      </c>
      <c r="R33" t="s">
        <v>138</v>
      </c>
      <c r="S33" t="s">
        <v>111</v>
      </c>
      <c r="T33" t="s">
        <v>160</v>
      </c>
      <c r="U33" t="s">
        <v>156</v>
      </c>
      <c r="V33" t="s">
        <v>185</v>
      </c>
      <c r="AO33" s="1" t="s">
        <v>162</v>
      </c>
      <c r="AP33" s="1" t="str">
        <f>IF(COUNT(Quiniela!$E$89:$E$94,Quiniela!$I$89:$I$94)=0,"",INDEX($A$156:$A$159,MATCH(2,$K$156:$K$159,0)))</f>
        <v/>
      </c>
      <c r="CN33" s="6">
        <v>30</v>
      </c>
      <c r="CO33" s="6" t="s">
        <v>884</v>
      </c>
      <c r="CP33" s="6" t="s">
        <v>67</v>
      </c>
      <c r="CR33" s="12" t="str">
        <f>A129</f>
        <v>CABO VERDE</v>
      </c>
      <c r="CS33" s="12" t="s">
        <v>114</v>
      </c>
      <c r="CT33" s="12">
        <f t="shared" si="16"/>
        <v>0</v>
      </c>
      <c r="CU33" s="12">
        <f t="shared" si="16"/>
        <v>0</v>
      </c>
      <c r="CV33" s="12">
        <f t="shared" si="16"/>
        <v>0</v>
      </c>
      <c r="CW33" s="12">
        <f t="shared" si="16"/>
        <v>0</v>
      </c>
      <c r="CX33" s="12">
        <f t="shared" si="1"/>
        <v>3.3000000000000002E-7</v>
      </c>
      <c r="CY33" s="12">
        <f t="shared" si="2"/>
        <v>19</v>
      </c>
      <c r="CZ33" s="12">
        <f t="shared" si="3"/>
        <v>3.3000000000000002E-7</v>
      </c>
      <c r="DA33" s="12">
        <f t="shared" si="4"/>
        <v>19</v>
      </c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</row>
    <row r="34" spans="1:118" x14ac:dyDescent="0.25">
      <c r="A34" s="137" t="s">
        <v>186</v>
      </c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M34">
        <v>14</v>
      </c>
      <c r="N34" t="s">
        <v>105</v>
      </c>
      <c r="O34" t="s">
        <v>119</v>
      </c>
      <c r="P34" t="s">
        <v>138</v>
      </c>
      <c r="Q34" t="s">
        <v>89</v>
      </c>
      <c r="R34" t="s">
        <v>125</v>
      </c>
      <c r="S34" t="s">
        <v>111</v>
      </c>
      <c r="T34" t="s">
        <v>160</v>
      </c>
      <c r="U34" t="s">
        <v>156</v>
      </c>
      <c r="V34" t="s">
        <v>187</v>
      </c>
      <c r="AO34" s="1" t="s">
        <v>138</v>
      </c>
      <c r="AP34" s="1" t="str">
        <f>IF(COUNT(Quiniela!$E$89:$E$94,Quiniela!$I$89:$I$94)=0,"",INDEX($A$156:$A$159,MATCH(3,$K$156:$K$159,0)))</f>
        <v/>
      </c>
      <c r="CN34" s="6">
        <v>31</v>
      </c>
      <c r="CO34" s="6" t="s">
        <v>886</v>
      </c>
      <c r="CP34" s="6" t="s">
        <v>67</v>
      </c>
      <c r="CR34" s="12" t="str">
        <f>A130</f>
        <v>ARABIA SAUDITA</v>
      </c>
      <c r="CS34" s="12" t="s">
        <v>114</v>
      </c>
      <c r="CT34" s="12">
        <f t="shared" si="16"/>
        <v>0</v>
      </c>
      <c r="CU34" s="12">
        <f t="shared" si="16"/>
        <v>0</v>
      </c>
      <c r="CV34" s="12">
        <f t="shared" si="16"/>
        <v>0</v>
      </c>
      <c r="CW34" s="12">
        <f t="shared" si="16"/>
        <v>0</v>
      </c>
      <c r="CX34" s="12">
        <f t="shared" si="1"/>
        <v>3.3999999999999997E-7</v>
      </c>
      <c r="CY34" s="12">
        <f t="shared" si="2"/>
        <v>18</v>
      </c>
      <c r="CZ34" s="12">
        <f t="shared" si="3"/>
        <v>3.3999999999999997E-7</v>
      </c>
      <c r="DA34" s="12">
        <f t="shared" si="4"/>
        <v>18</v>
      </c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</row>
    <row r="35" spans="1:118" x14ac:dyDescent="0.25">
      <c r="B35" s="2" t="s">
        <v>66</v>
      </c>
      <c r="C35" s="2" t="s">
        <v>169</v>
      </c>
      <c r="D35" s="2" t="s">
        <v>170</v>
      </c>
      <c r="E35" s="2" t="s">
        <v>171</v>
      </c>
      <c r="M35">
        <v>15</v>
      </c>
      <c r="N35" t="s">
        <v>105</v>
      </c>
      <c r="O35" t="s">
        <v>119</v>
      </c>
      <c r="P35" t="s">
        <v>131</v>
      </c>
      <c r="Q35" t="s">
        <v>89</v>
      </c>
      <c r="R35" t="s">
        <v>125</v>
      </c>
      <c r="S35" t="s">
        <v>111</v>
      </c>
      <c r="T35" t="s">
        <v>160</v>
      </c>
      <c r="U35" t="s">
        <v>156</v>
      </c>
      <c r="V35" t="s">
        <v>188</v>
      </c>
      <c r="AO35" s="1" t="s">
        <v>142</v>
      </c>
      <c r="AP35" s="1" t="str">
        <f>IF(COUNT(Quiniela!$E$97:$E$102,Quiniela!$I$97:$I$102)=0,"",INDEX($A$170:$A$173,MATCH(1,$K$170:$K$173,0)))</f>
        <v/>
      </c>
      <c r="CN35" s="6">
        <v>32</v>
      </c>
      <c r="CO35" s="6" t="s">
        <v>887</v>
      </c>
      <c r="CP35" s="6" t="s">
        <v>67</v>
      </c>
      <c r="CR35" s="12" t="str">
        <f>A131</f>
        <v>URUGUAY</v>
      </c>
      <c r="CS35" s="12" t="s">
        <v>114</v>
      </c>
      <c r="CT35" s="12">
        <f t="shared" si="16"/>
        <v>0</v>
      </c>
      <c r="CU35" s="12">
        <f t="shared" si="16"/>
        <v>0</v>
      </c>
      <c r="CV35" s="12">
        <f t="shared" si="16"/>
        <v>0</v>
      </c>
      <c r="CW35" s="12">
        <f t="shared" si="16"/>
        <v>0</v>
      </c>
      <c r="CX35" s="12">
        <f t="shared" si="1"/>
        <v>3.4999999999999998E-7</v>
      </c>
      <c r="CY35" s="12">
        <f t="shared" si="2"/>
        <v>17</v>
      </c>
      <c r="CZ35" s="12">
        <f t="shared" si="3"/>
        <v>3.4999999999999998E-7</v>
      </c>
      <c r="DA35" s="12">
        <f t="shared" si="4"/>
        <v>17</v>
      </c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</row>
    <row r="36" spans="1:118" x14ac:dyDescent="0.25">
      <c r="B36" s="1">
        <f>IF(Quiniela!E25="",0,IF(Quiniela!E25&gt;Quiniela!I25,Quiniela!D25,IF(Quiniela!I25&gt;Quiniela!E25,Quiniela!G25,"X")))</f>
        <v>0</v>
      </c>
      <c r="C36" s="1">
        <f>IF(Quiniela!E25="",0,IF(B36="X",0,IF(B36=Quiniela!D25,Quiniela!G25,Quiniela!D25)))</f>
        <v>0</v>
      </c>
      <c r="D36" s="1">
        <f>IF(B36="X",Quiniela!D25,0)</f>
        <v>0</v>
      </c>
      <c r="E36" s="1">
        <f>IF(B36="X",Quiniela!G25,0)</f>
        <v>0</v>
      </c>
      <c r="M36">
        <v>16</v>
      </c>
      <c r="N36" t="s">
        <v>105</v>
      </c>
      <c r="O36" t="s">
        <v>119</v>
      </c>
      <c r="P36" t="s">
        <v>138</v>
      </c>
      <c r="Q36" t="s">
        <v>89</v>
      </c>
      <c r="R36" t="s">
        <v>125</v>
      </c>
      <c r="S36" t="s">
        <v>111</v>
      </c>
      <c r="T36" t="s">
        <v>160</v>
      </c>
      <c r="U36" t="s">
        <v>131</v>
      </c>
      <c r="V36" t="s">
        <v>189</v>
      </c>
      <c r="AO36" s="1" t="s">
        <v>158</v>
      </c>
      <c r="AP36" s="1" t="str">
        <f>IF(COUNT(Quiniela!$E$97:$E$102,Quiniela!$I$97:$I$102)=0,"",INDEX($A$170:$A$173,MATCH(2,$K$170:$K$173,0)))</f>
        <v/>
      </c>
      <c r="CN36" s="6">
        <v>33</v>
      </c>
      <c r="CO36" s="6" t="s">
        <v>888</v>
      </c>
      <c r="CP36" s="6" t="s">
        <v>67</v>
      </c>
      <c r="CR36" s="12" t="str">
        <f>A142</f>
        <v>FRANCIA</v>
      </c>
      <c r="CS36" s="12" t="s">
        <v>120</v>
      </c>
      <c r="CT36" s="12">
        <f t="shared" ref="CT36:CW39" si="17">F142</f>
        <v>0</v>
      </c>
      <c r="CU36" s="12">
        <f t="shared" si="17"/>
        <v>0</v>
      </c>
      <c r="CV36" s="12">
        <f t="shared" si="17"/>
        <v>0</v>
      </c>
      <c r="CW36" s="12">
        <f t="shared" si="17"/>
        <v>0</v>
      </c>
      <c r="CX36" s="12">
        <f t="shared" si="1"/>
        <v>3.5999999999999999E-7</v>
      </c>
      <c r="CY36" s="12">
        <f t="shared" si="2"/>
        <v>16</v>
      </c>
      <c r="CZ36" s="12">
        <f t="shared" si="3"/>
        <v>3.5999999999999999E-7</v>
      </c>
      <c r="DA36" s="12">
        <f t="shared" si="4"/>
        <v>16</v>
      </c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</row>
    <row r="37" spans="1:118" x14ac:dyDescent="0.25">
      <c r="B37" s="1">
        <f>IF(Quiniela!E26="",0,IF(Quiniela!E26&gt;Quiniela!I26,Quiniela!D26,IF(Quiniela!I26&gt;Quiniela!E26,Quiniela!G26,"X")))</f>
        <v>0</v>
      </c>
      <c r="C37" s="1">
        <f>IF(Quiniela!E26="",0,IF(B37="X",0,IF(B37=Quiniela!D26,Quiniela!G26,Quiniela!D26)))</f>
        <v>0</v>
      </c>
      <c r="D37" s="1">
        <f>IF(B37="X",Quiniela!D26,0)</f>
        <v>0</v>
      </c>
      <c r="E37" s="1">
        <f>IF(B37="X",Quiniela!G26,0)</f>
        <v>0</v>
      </c>
      <c r="M37">
        <v>17</v>
      </c>
      <c r="N37" t="s">
        <v>105</v>
      </c>
      <c r="O37" t="s">
        <v>119</v>
      </c>
      <c r="P37" t="s">
        <v>138</v>
      </c>
      <c r="Q37" t="s">
        <v>89</v>
      </c>
      <c r="R37" t="s">
        <v>125</v>
      </c>
      <c r="S37" t="s">
        <v>111</v>
      </c>
      <c r="T37" t="s">
        <v>131</v>
      </c>
      <c r="U37" t="s">
        <v>156</v>
      </c>
      <c r="V37" t="s">
        <v>190</v>
      </c>
      <c r="AO37" s="1" t="s">
        <v>156</v>
      </c>
      <c r="AP37" s="1" t="str">
        <f>IF(COUNT(Quiniela!$E$97:$E$102,Quiniela!$I$97:$I$102)=0,"",INDEX($A$170:$A$173,MATCH(3,$K$170:$K$173,0)))</f>
        <v/>
      </c>
      <c r="CN37" s="6">
        <v>34</v>
      </c>
      <c r="CO37" s="6" t="s">
        <v>958</v>
      </c>
      <c r="CP37" s="6" t="s">
        <v>67</v>
      </c>
      <c r="CR37" s="12" t="str">
        <f>A143</f>
        <v>SENEGAL</v>
      </c>
      <c r="CS37" s="12" t="s">
        <v>120</v>
      </c>
      <c r="CT37" s="12">
        <f t="shared" si="17"/>
        <v>0</v>
      </c>
      <c r="CU37" s="12">
        <f t="shared" si="17"/>
        <v>0</v>
      </c>
      <c r="CV37" s="12">
        <f t="shared" si="17"/>
        <v>0</v>
      </c>
      <c r="CW37" s="12">
        <f t="shared" si="17"/>
        <v>0</v>
      </c>
      <c r="CX37" s="12">
        <f t="shared" si="1"/>
        <v>3.7E-7</v>
      </c>
      <c r="CY37" s="12">
        <f t="shared" si="2"/>
        <v>15</v>
      </c>
      <c r="CZ37" s="12">
        <f t="shared" si="3"/>
        <v>3.7E-7</v>
      </c>
      <c r="DA37" s="12">
        <f t="shared" si="4"/>
        <v>15</v>
      </c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</row>
    <row r="38" spans="1:118" x14ac:dyDescent="0.25">
      <c r="B38" s="1">
        <f>IF(Quiniela!E27="",0,IF(Quiniela!E27&gt;Quiniela!I27,Quiniela!D27,IF(Quiniela!I27&gt;Quiniela!E27,Quiniela!G27,"X")))</f>
        <v>0</v>
      </c>
      <c r="C38" s="1">
        <f>IF(Quiniela!E27="",0,IF(B38="X",0,IF(B38=Quiniela!D27,Quiniela!G27,Quiniela!D27)))</f>
        <v>0</v>
      </c>
      <c r="D38" s="1">
        <f>IF(B38="X",Quiniela!D27,0)</f>
        <v>0</v>
      </c>
      <c r="E38" s="1">
        <f>IF(B38="X",Quiniela!G27,0)</f>
        <v>0</v>
      </c>
      <c r="M38">
        <v>18</v>
      </c>
      <c r="N38" t="s">
        <v>125</v>
      </c>
      <c r="O38" t="s">
        <v>119</v>
      </c>
      <c r="P38" t="s">
        <v>131</v>
      </c>
      <c r="Q38" t="s">
        <v>89</v>
      </c>
      <c r="R38" t="s">
        <v>138</v>
      </c>
      <c r="S38" t="s">
        <v>96</v>
      </c>
      <c r="T38" t="s">
        <v>160</v>
      </c>
      <c r="U38" t="s">
        <v>156</v>
      </c>
      <c r="V38" t="s">
        <v>191</v>
      </c>
      <c r="AO38" s="1" t="s">
        <v>126</v>
      </c>
      <c r="AP38" s="1" t="str">
        <f>IF(COUNT(Quiniela!$E$105:$E$110,Quiniela!$I$105:$I$110)=0,"",INDEX($A$184:$A$187,MATCH(1,$K$184:$K$187,0)))</f>
        <v/>
      </c>
      <c r="CN38" s="6">
        <v>35</v>
      </c>
      <c r="CO38" s="6" t="s">
        <v>890</v>
      </c>
      <c r="CP38" s="6" t="s">
        <v>67</v>
      </c>
      <c r="CR38" s="12" t="str">
        <f>A144</f>
        <v>IRAK</v>
      </c>
      <c r="CS38" s="12" t="s">
        <v>120</v>
      </c>
      <c r="CT38" s="12">
        <f t="shared" si="17"/>
        <v>0</v>
      </c>
      <c r="CU38" s="12">
        <f t="shared" si="17"/>
        <v>0</v>
      </c>
      <c r="CV38" s="12">
        <f t="shared" si="17"/>
        <v>0</v>
      </c>
      <c r="CW38" s="12">
        <f t="shared" si="17"/>
        <v>0</v>
      </c>
      <c r="CX38" s="12">
        <f t="shared" si="1"/>
        <v>3.8000000000000001E-7</v>
      </c>
      <c r="CY38" s="12">
        <f t="shared" si="2"/>
        <v>14</v>
      </c>
      <c r="CZ38" s="12">
        <f t="shared" si="3"/>
        <v>3.8000000000000001E-7</v>
      </c>
      <c r="DA38" s="12">
        <f t="shared" si="4"/>
        <v>14</v>
      </c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</row>
    <row r="39" spans="1:118" x14ac:dyDescent="0.25">
      <c r="B39" s="1">
        <f>IF(Quiniela!E28="",0,IF(Quiniela!E28&gt;Quiniela!I28,Quiniela!D28,IF(Quiniela!I28&gt;Quiniela!E28,Quiniela!G28,"X")))</f>
        <v>0</v>
      </c>
      <c r="C39" s="1">
        <f>IF(Quiniela!E28="",0,IF(B39="X",0,IF(B39=Quiniela!D28,Quiniela!G28,Quiniela!D28)))</f>
        <v>0</v>
      </c>
      <c r="D39" s="1">
        <f>IF(B39="X",Quiniela!D28,0)</f>
        <v>0</v>
      </c>
      <c r="E39" s="1">
        <f>IF(B39="X",Quiniela!G28,0)</f>
        <v>0</v>
      </c>
      <c r="M39">
        <v>19</v>
      </c>
      <c r="N39" t="s">
        <v>89</v>
      </c>
      <c r="O39" t="s">
        <v>138</v>
      </c>
      <c r="P39" t="s">
        <v>131</v>
      </c>
      <c r="Q39" t="s">
        <v>96</v>
      </c>
      <c r="R39" t="s">
        <v>125</v>
      </c>
      <c r="S39" t="s">
        <v>111</v>
      </c>
      <c r="T39" t="s">
        <v>160</v>
      </c>
      <c r="U39" t="s">
        <v>156</v>
      </c>
      <c r="V39" t="s">
        <v>192</v>
      </c>
      <c r="AO39" s="1" t="s">
        <v>159</v>
      </c>
      <c r="AP39" s="1" t="str">
        <f>IF(COUNT(Quiniela!$E$105:$E$110,Quiniela!$I$105:$I$110)=0,"",INDEX($A$184:$A$187,MATCH(2,$K$184:$K$187,0)))</f>
        <v/>
      </c>
      <c r="CN39" s="6">
        <v>36</v>
      </c>
      <c r="CO39" s="6" t="s">
        <v>889</v>
      </c>
      <c r="CP39" s="6" t="s">
        <v>67</v>
      </c>
      <c r="CR39" s="12" t="str">
        <f>A145</f>
        <v>NORUEGA</v>
      </c>
      <c r="CS39" s="12" t="s">
        <v>120</v>
      </c>
      <c r="CT39" s="12">
        <f t="shared" si="17"/>
        <v>0</v>
      </c>
      <c r="CU39" s="12">
        <f t="shared" si="17"/>
        <v>0</v>
      </c>
      <c r="CV39" s="12">
        <f t="shared" si="17"/>
        <v>0</v>
      </c>
      <c r="CW39" s="12">
        <f t="shared" si="17"/>
        <v>0</v>
      </c>
      <c r="CX39" s="12">
        <f t="shared" si="1"/>
        <v>3.9000000000000002E-7</v>
      </c>
      <c r="CY39" s="12">
        <f t="shared" si="2"/>
        <v>13</v>
      </c>
      <c r="CZ39" s="12">
        <f t="shared" si="3"/>
        <v>3.9000000000000002E-7</v>
      </c>
      <c r="DA39" s="12">
        <f t="shared" si="4"/>
        <v>13</v>
      </c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</row>
    <row r="40" spans="1:118" x14ac:dyDescent="0.25">
      <c r="B40" s="1">
        <f>IF(Quiniela!E29="",0,IF(Quiniela!E29&gt;Quiniela!I29,Quiniela!D29,IF(Quiniela!I29&gt;Quiniela!E29,Quiniela!G29,"X")))</f>
        <v>0</v>
      </c>
      <c r="C40" s="1">
        <f>IF(Quiniela!E29="",0,IF(B40="X",0,IF(B40=Quiniela!D29,Quiniela!G29,Quiniela!D29)))</f>
        <v>0</v>
      </c>
      <c r="D40" s="1">
        <f>IF(B40="X",Quiniela!D29,0)</f>
        <v>0</v>
      </c>
      <c r="E40" s="1">
        <f>IF(B40="X",Quiniela!G29,0)</f>
        <v>0</v>
      </c>
      <c r="M40">
        <v>20</v>
      </c>
      <c r="N40" t="s">
        <v>89</v>
      </c>
      <c r="O40" t="s">
        <v>119</v>
      </c>
      <c r="P40" t="s">
        <v>131</v>
      </c>
      <c r="Q40" t="s">
        <v>96</v>
      </c>
      <c r="R40" t="s">
        <v>138</v>
      </c>
      <c r="S40" t="s">
        <v>111</v>
      </c>
      <c r="T40" t="s">
        <v>160</v>
      </c>
      <c r="U40" t="s">
        <v>156</v>
      </c>
      <c r="V40" t="s">
        <v>193</v>
      </c>
      <c r="AO40" s="1" t="s">
        <v>160</v>
      </c>
      <c r="AP40" s="1" t="str">
        <f>IF(COUNT(Quiniela!$E$105:$E$110,Quiniela!$I$105:$I$110)=0,"",INDEX($A$184:$A$187,MATCH(3,$K$184:$K$187,0)))</f>
        <v/>
      </c>
      <c r="CN40" s="6">
        <v>37</v>
      </c>
      <c r="CO40" s="6" t="s">
        <v>891</v>
      </c>
      <c r="CP40" s="6" t="s">
        <v>67</v>
      </c>
      <c r="CR40" s="12" t="str">
        <f>A156</f>
        <v>ARGENTINA</v>
      </c>
      <c r="CS40" s="12" t="s">
        <v>14</v>
      </c>
      <c r="CT40" s="12">
        <f t="shared" ref="CT40:CW43" si="18">F156</f>
        <v>0</v>
      </c>
      <c r="CU40" s="12">
        <f t="shared" si="18"/>
        <v>0</v>
      </c>
      <c r="CV40" s="12">
        <f t="shared" si="18"/>
        <v>0</v>
      </c>
      <c r="CW40" s="12">
        <f t="shared" si="18"/>
        <v>0</v>
      </c>
      <c r="CX40" s="12">
        <f t="shared" si="1"/>
        <v>3.9999999999999998E-7</v>
      </c>
      <c r="CY40" s="12">
        <f t="shared" si="2"/>
        <v>12</v>
      </c>
      <c r="CZ40" s="12">
        <f t="shared" si="3"/>
        <v>3.9999999999999998E-7</v>
      </c>
      <c r="DA40" s="12">
        <f t="shared" si="4"/>
        <v>12</v>
      </c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</row>
    <row r="41" spans="1:118" x14ac:dyDescent="0.25">
      <c r="B41" s="1">
        <f>IF(Quiniela!E30="",0,IF(Quiniela!E30&gt;Quiniela!I30,Quiniela!D30,IF(Quiniela!I30&gt;Quiniela!E30,Quiniela!G30,"X")))</f>
        <v>0</v>
      </c>
      <c r="C41" s="1">
        <f>IF(Quiniela!E30="",0,IF(B41="X",0,IF(B41=Quiniela!D30,Quiniela!G30,Quiniela!D30)))</f>
        <v>0</v>
      </c>
      <c r="D41" s="1">
        <f>IF(B41="X",Quiniela!D30,0)</f>
        <v>0</v>
      </c>
      <c r="E41" s="1">
        <f>IF(B41="X",Quiniela!G30,0)</f>
        <v>0</v>
      </c>
      <c r="M41">
        <v>21</v>
      </c>
      <c r="N41" t="s">
        <v>89</v>
      </c>
      <c r="O41" t="s">
        <v>119</v>
      </c>
      <c r="P41" t="s">
        <v>138</v>
      </c>
      <c r="Q41" t="s">
        <v>96</v>
      </c>
      <c r="R41" t="s">
        <v>125</v>
      </c>
      <c r="S41" t="s">
        <v>111</v>
      </c>
      <c r="T41" t="s">
        <v>160</v>
      </c>
      <c r="U41" t="s">
        <v>156</v>
      </c>
      <c r="V41" t="s">
        <v>194</v>
      </c>
      <c r="CN41" s="6">
        <v>38</v>
      </c>
      <c r="CO41" s="6" t="s">
        <v>892</v>
      </c>
      <c r="CP41" s="6" t="s">
        <v>67</v>
      </c>
      <c r="CR41" s="12" t="str">
        <f>A157</f>
        <v>ARGELIA</v>
      </c>
      <c r="CS41" s="12" t="s">
        <v>14</v>
      </c>
      <c r="CT41" s="12">
        <f t="shared" si="18"/>
        <v>0</v>
      </c>
      <c r="CU41" s="12">
        <f t="shared" si="18"/>
        <v>0</v>
      </c>
      <c r="CV41" s="12">
        <f t="shared" si="18"/>
        <v>0</v>
      </c>
      <c r="CW41" s="12">
        <f t="shared" si="18"/>
        <v>0</v>
      </c>
      <c r="CX41" s="12">
        <f t="shared" si="1"/>
        <v>4.0999999999999999E-7</v>
      </c>
      <c r="CY41" s="12">
        <f t="shared" si="2"/>
        <v>11</v>
      </c>
      <c r="CZ41" s="12">
        <f t="shared" si="3"/>
        <v>4.0999999999999999E-7</v>
      </c>
      <c r="DA41" s="12">
        <f t="shared" si="4"/>
        <v>11</v>
      </c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</row>
    <row r="42" spans="1:118" x14ac:dyDescent="0.25">
      <c r="M42">
        <v>22</v>
      </c>
      <c r="N42" t="s">
        <v>89</v>
      </c>
      <c r="O42" t="s">
        <v>119</v>
      </c>
      <c r="P42" t="s">
        <v>131</v>
      </c>
      <c r="Q42" t="s">
        <v>96</v>
      </c>
      <c r="R42" t="s">
        <v>125</v>
      </c>
      <c r="S42" t="s">
        <v>111</v>
      </c>
      <c r="T42" t="s">
        <v>160</v>
      </c>
      <c r="U42" t="s">
        <v>156</v>
      </c>
      <c r="V42" t="s">
        <v>195</v>
      </c>
      <c r="CN42" s="6">
        <v>39</v>
      </c>
      <c r="CO42" s="6" t="s">
        <v>894</v>
      </c>
      <c r="CP42" s="6" t="s">
        <v>67</v>
      </c>
      <c r="CR42" s="12" t="str">
        <f>A158</f>
        <v>AUSTRIA</v>
      </c>
      <c r="CS42" s="12" t="s">
        <v>14</v>
      </c>
      <c r="CT42" s="12">
        <f t="shared" si="18"/>
        <v>0</v>
      </c>
      <c r="CU42" s="12">
        <f t="shared" si="18"/>
        <v>0</v>
      </c>
      <c r="CV42" s="12">
        <f t="shared" si="18"/>
        <v>0</v>
      </c>
      <c r="CW42" s="12">
        <f t="shared" si="18"/>
        <v>0</v>
      </c>
      <c r="CX42" s="12">
        <f t="shared" si="1"/>
        <v>4.2E-7</v>
      </c>
      <c r="CY42" s="12">
        <f t="shared" si="2"/>
        <v>10</v>
      </c>
      <c r="CZ42" s="12">
        <f t="shared" si="3"/>
        <v>4.2E-7</v>
      </c>
      <c r="DA42" s="12">
        <f t="shared" si="4"/>
        <v>10</v>
      </c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</row>
    <row r="43" spans="1:118" x14ac:dyDescent="0.25">
      <c r="A43" s="3" t="s">
        <v>13</v>
      </c>
      <c r="B43" s="3" t="s">
        <v>14</v>
      </c>
      <c r="C43" s="3" t="s">
        <v>15</v>
      </c>
      <c r="D43" s="3" t="s">
        <v>16</v>
      </c>
      <c r="E43" s="3" t="s">
        <v>17</v>
      </c>
      <c r="F43" s="3" t="s">
        <v>18</v>
      </c>
      <c r="G43" s="3" t="s">
        <v>59</v>
      </c>
      <c r="H43" s="3" t="s">
        <v>180</v>
      </c>
      <c r="I43" s="3" t="s">
        <v>19</v>
      </c>
      <c r="J43" s="3" t="s">
        <v>60</v>
      </c>
      <c r="K43" s="3" t="s">
        <v>12</v>
      </c>
      <c r="M43">
        <v>23</v>
      </c>
      <c r="N43" t="s">
        <v>89</v>
      </c>
      <c r="O43" t="s">
        <v>119</v>
      </c>
      <c r="P43" t="s">
        <v>138</v>
      </c>
      <c r="Q43" t="s">
        <v>96</v>
      </c>
      <c r="R43" t="s">
        <v>125</v>
      </c>
      <c r="S43" t="s">
        <v>111</v>
      </c>
      <c r="T43" t="s">
        <v>160</v>
      </c>
      <c r="U43" t="s">
        <v>131</v>
      </c>
      <c r="V43" t="s">
        <v>196</v>
      </c>
      <c r="CN43" s="6">
        <v>40</v>
      </c>
      <c r="CO43" s="6" t="s">
        <v>893</v>
      </c>
      <c r="CP43" s="6" t="s">
        <v>67</v>
      </c>
      <c r="CR43" s="12" t="str">
        <f>A159</f>
        <v>JORDANIA</v>
      </c>
      <c r="CS43" s="12" t="s">
        <v>14</v>
      </c>
      <c r="CT43" s="12">
        <f t="shared" si="18"/>
        <v>0</v>
      </c>
      <c r="CU43" s="12">
        <f t="shared" si="18"/>
        <v>0</v>
      </c>
      <c r="CV43" s="12">
        <f t="shared" si="18"/>
        <v>0</v>
      </c>
      <c r="CW43" s="12">
        <f t="shared" si="18"/>
        <v>0</v>
      </c>
      <c r="CX43" s="12">
        <f t="shared" si="1"/>
        <v>4.3000000000000001E-7</v>
      </c>
      <c r="CY43" s="12">
        <f t="shared" si="2"/>
        <v>9</v>
      </c>
      <c r="CZ43" s="12">
        <f t="shared" si="3"/>
        <v>4.3000000000000001E-7</v>
      </c>
      <c r="DA43" s="12">
        <f t="shared" si="4"/>
        <v>9</v>
      </c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</row>
    <row r="44" spans="1:118" x14ac:dyDescent="0.25">
      <c r="A44" s="1" t="str">
        <f>B5</f>
        <v>CANADA</v>
      </c>
      <c r="B44" s="1">
        <f>SUMPRODUCT((Quiniela!D25:D30=A44)*(Quiniela!E25:E30&lt;&gt;""))+SUMPRODUCT((Quiniela!G25:G30=A44)*(Quiniela!I25:I30&lt;&gt;""))</f>
        <v>0</v>
      </c>
      <c r="C44" s="1">
        <f>SUMPRODUCT(((Quiniela!D25:D30=A44)*(Quiniela!E25:E30&gt;Quiniela!I25:I30))+((Quiniela!G25:G30=A44)*(Quiniela!I25:I30&gt;Quiniela!E25:E30)))</f>
        <v>0</v>
      </c>
      <c r="D44" s="1">
        <f>SUMPRODUCT(((Quiniela!D25:D30=A44)*(Quiniela!E25:E30&lt;Quiniela!I25:I30))+((Quiniela!G25:G30=A44)*(Quiniela!I25:I30&lt;Quiniela!E25:E30)))</f>
        <v>0</v>
      </c>
      <c r="E44" s="1">
        <f>SUMPRODUCT(((Quiniela!D25:D30=A44)*(Quiniela!E25:E30=Quiniela!I25:I30)*(Quiniela!E25:E30&lt;&gt;""))+((Quiniela!G25:G30=A44)*(Quiniela!I25:I30=Quiniela!E25:E30)*(Quiniela!I25:I30&lt;&gt;"")))</f>
        <v>0</v>
      </c>
      <c r="F44" s="1">
        <f>C44*3+E44</f>
        <v>0</v>
      </c>
      <c r="G44" s="1">
        <f>SUMIF(Quiniela!$D$25:$D$30,A44,Quiniela!$E$25:$E$30)+SUMIF(Quiniela!$G$25:$G$30,A44,Quiniela!$I$25:$I$30)</f>
        <v>0</v>
      </c>
      <c r="H44" s="1">
        <f>SUMIF(Quiniela!$D$25:$D$30,A44,Quiniela!$I$25:$I$30)+SUMIF(Quiniela!$G$25:$G$30,A44,Quiniela!$E$25:$E$30)</f>
        <v>0</v>
      </c>
      <c r="I44" s="1">
        <f>G44-H44</f>
        <v>0</v>
      </c>
      <c r="J44" s="1">
        <f>F44+I44/100+G44/10000+0.0000004</f>
        <v>3.9999999999999998E-7</v>
      </c>
      <c r="K44" s="1">
        <f>RANK(J44,$J$44:$J$47,0)</f>
        <v>1</v>
      </c>
      <c r="M44">
        <v>24</v>
      </c>
      <c r="N44" t="s">
        <v>89</v>
      </c>
      <c r="O44" t="s">
        <v>119</v>
      </c>
      <c r="P44" t="s">
        <v>138</v>
      </c>
      <c r="Q44" t="s">
        <v>96</v>
      </c>
      <c r="R44" t="s">
        <v>125</v>
      </c>
      <c r="S44" t="s">
        <v>111</v>
      </c>
      <c r="T44" t="s">
        <v>131</v>
      </c>
      <c r="U44" t="s">
        <v>156</v>
      </c>
      <c r="V44" t="s">
        <v>197</v>
      </c>
      <c r="CN44" s="6">
        <v>41</v>
      </c>
      <c r="CO44" s="6" t="s">
        <v>896</v>
      </c>
      <c r="CP44" s="6" t="s">
        <v>67</v>
      </c>
      <c r="CR44" s="12" t="str">
        <f>A170</f>
        <v>PORTUGAL</v>
      </c>
      <c r="CS44" s="12" t="s">
        <v>133</v>
      </c>
      <c r="CT44" s="12">
        <f t="shared" ref="CT44:CW47" si="19">F170</f>
        <v>0</v>
      </c>
      <c r="CU44" s="12">
        <f t="shared" si="19"/>
        <v>0</v>
      </c>
      <c r="CV44" s="12">
        <f t="shared" si="19"/>
        <v>0</v>
      </c>
      <c r="CW44" s="12">
        <f t="shared" si="19"/>
        <v>0</v>
      </c>
      <c r="CX44" s="12">
        <f t="shared" si="1"/>
        <v>4.4000000000000002E-7</v>
      </c>
      <c r="CY44" s="12">
        <f t="shared" si="2"/>
        <v>8</v>
      </c>
      <c r="CZ44" s="12">
        <f t="shared" si="3"/>
        <v>4.4000000000000002E-7</v>
      </c>
      <c r="DA44" s="12">
        <f t="shared" si="4"/>
        <v>8</v>
      </c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</row>
    <row r="45" spans="1:118" x14ac:dyDescent="0.25">
      <c r="A45" s="1" t="str">
        <f>C5</f>
        <v>BOSNIA Y HERZEGOVINA</v>
      </c>
      <c r="B45" s="1">
        <f>SUMPRODUCT((Quiniela!D25:D30=A45)*(Quiniela!E25:E30&lt;&gt;""))+SUMPRODUCT((Quiniela!G25:G30=A45)*(Quiniela!I25:I30&lt;&gt;""))</f>
        <v>0</v>
      </c>
      <c r="C45" s="1">
        <f>SUMPRODUCT(((Quiniela!D25:D30=A45)*(Quiniela!E25:E30&gt;Quiniela!I25:I30))+((Quiniela!G25:G30=A45)*(Quiniela!I25:I30&gt;Quiniela!E25:E30)))</f>
        <v>0</v>
      </c>
      <c r="D45" s="1">
        <f>SUMPRODUCT(((Quiniela!D25:D30=A45)*(Quiniela!E25:E30&lt;Quiniela!I25:I30))+((Quiniela!G25:G30=A45)*(Quiniela!I25:I30&lt;Quiniela!E25:E30)))</f>
        <v>0</v>
      </c>
      <c r="E45" s="1">
        <f>SUMPRODUCT(((Quiniela!D25:D30=A45)*(Quiniela!E25:E30=Quiniela!I25:I30)*(Quiniela!E25:E30&lt;&gt;""))+((Quiniela!G25:G30=A45)*(Quiniela!I25:I30=Quiniela!E25:E30)*(Quiniela!I25:I30&lt;&gt;"")))</f>
        <v>0</v>
      </c>
      <c r="F45" s="1">
        <f>C45*3+E45</f>
        <v>0</v>
      </c>
      <c r="G45" s="1">
        <f>SUMIF(Quiniela!$D$25:$D$30,A45,Quiniela!$E$25:$E$30)+SUMIF(Quiniela!$G$25:$G$30,A45,Quiniela!$I$25:$I$30)</f>
        <v>0</v>
      </c>
      <c r="H45" s="1">
        <f>SUMIF(Quiniela!$D$25:$D$30,A45,Quiniela!$I$25:$I$30)+SUMIF(Quiniela!$G$25:$G$30,A45,Quiniela!$E$25:$E$30)</f>
        <v>0</v>
      </c>
      <c r="I45" s="1">
        <f>G45-H45</f>
        <v>0</v>
      </c>
      <c r="J45" s="1">
        <f>F45+I45/100+G45/10000+0.0000003</f>
        <v>2.9999999999999999E-7</v>
      </c>
      <c r="K45" s="1">
        <f>RANK(J45,$J$44:$J$47,0)</f>
        <v>2</v>
      </c>
      <c r="M45">
        <v>25</v>
      </c>
      <c r="N45" t="s">
        <v>105</v>
      </c>
      <c r="O45" t="s">
        <v>138</v>
      </c>
      <c r="P45" t="s">
        <v>131</v>
      </c>
      <c r="Q45" t="s">
        <v>89</v>
      </c>
      <c r="R45" t="s">
        <v>125</v>
      </c>
      <c r="S45" t="s">
        <v>96</v>
      </c>
      <c r="T45" t="s">
        <v>160</v>
      </c>
      <c r="U45" t="s">
        <v>156</v>
      </c>
      <c r="V45" t="s">
        <v>198</v>
      </c>
      <c r="CN45" s="6">
        <v>42</v>
      </c>
      <c r="CO45" s="6" t="s">
        <v>895</v>
      </c>
      <c r="CP45" s="6" t="s">
        <v>67</v>
      </c>
      <c r="CR45" s="12" t="str">
        <f>A171</f>
        <v>RD CONGO</v>
      </c>
      <c r="CS45" s="12" t="s">
        <v>133</v>
      </c>
      <c r="CT45" s="12">
        <f t="shared" si="19"/>
        <v>0</v>
      </c>
      <c r="CU45" s="12">
        <f t="shared" si="19"/>
        <v>0</v>
      </c>
      <c r="CV45" s="12">
        <f t="shared" si="19"/>
        <v>0</v>
      </c>
      <c r="CW45" s="12">
        <f t="shared" si="19"/>
        <v>0</v>
      </c>
      <c r="CX45" s="12">
        <f t="shared" si="1"/>
        <v>4.4999999999999998E-7</v>
      </c>
      <c r="CY45" s="12">
        <f t="shared" si="2"/>
        <v>7</v>
      </c>
      <c r="CZ45" s="12">
        <f t="shared" si="3"/>
        <v>4.4999999999999998E-7</v>
      </c>
      <c r="DA45" s="12">
        <f t="shared" si="4"/>
        <v>7</v>
      </c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</row>
    <row r="46" spans="1:118" x14ac:dyDescent="0.25">
      <c r="A46" s="1" t="str">
        <f>D5</f>
        <v>QATAR</v>
      </c>
      <c r="B46" s="1">
        <f>SUMPRODUCT((Quiniela!D25:D30=A46)*(Quiniela!E25:E30&lt;&gt;""))+SUMPRODUCT((Quiniela!G25:G30=A46)*(Quiniela!I25:I30&lt;&gt;""))</f>
        <v>0</v>
      </c>
      <c r="C46" s="1">
        <f>SUMPRODUCT(((Quiniela!D25:D30=A46)*(Quiniela!E25:E30&gt;Quiniela!I25:I30))+((Quiniela!G25:G30=A46)*(Quiniela!I25:I30&gt;Quiniela!E25:E30)))</f>
        <v>0</v>
      </c>
      <c r="D46" s="1">
        <f>SUMPRODUCT(((Quiniela!D25:D30=A46)*(Quiniela!E25:E30&lt;Quiniela!I25:I30))+((Quiniela!G25:G30=A46)*(Quiniela!I25:I30&lt;Quiniela!E25:E30)))</f>
        <v>0</v>
      </c>
      <c r="E46" s="1">
        <f>SUMPRODUCT(((Quiniela!D25:D30=A46)*(Quiniela!E25:E30=Quiniela!I25:I30)*(Quiniela!E25:E30&lt;&gt;""))+((Quiniela!G25:G30=A46)*(Quiniela!I25:I30=Quiniela!E25:E30)*(Quiniela!I25:I30&lt;&gt;"")))</f>
        <v>0</v>
      </c>
      <c r="F46" s="1">
        <f>C46*3+E46</f>
        <v>0</v>
      </c>
      <c r="G46" s="1">
        <f>SUMIF(Quiniela!$D$25:$D$30,A46,Quiniela!$E$25:$E$30)+SUMIF(Quiniela!$G$25:$G$30,A46,Quiniela!$I$25:$I$30)</f>
        <v>0</v>
      </c>
      <c r="H46" s="1">
        <f>SUMIF(Quiniela!$D$25:$D$30,A46,Quiniela!$I$25:$I$30)+SUMIF(Quiniela!$G$25:$G$30,A46,Quiniela!$E$25:$E$30)</f>
        <v>0</v>
      </c>
      <c r="I46" s="1">
        <f>G46-H46</f>
        <v>0</v>
      </c>
      <c r="J46" s="1">
        <f>F46+I46/100+G46/10000+0.0000002</f>
        <v>1.9999999999999999E-7</v>
      </c>
      <c r="K46" s="1">
        <f>RANK(J46,$J$44:$J$47,0)</f>
        <v>3</v>
      </c>
      <c r="M46">
        <v>26</v>
      </c>
      <c r="N46" t="s">
        <v>105</v>
      </c>
      <c r="O46" t="s">
        <v>119</v>
      </c>
      <c r="P46" t="s">
        <v>131</v>
      </c>
      <c r="Q46" t="s">
        <v>89</v>
      </c>
      <c r="R46" t="s">
        <v>138</v>
      </c>
      <c r="S46" t="s">
        <v>96</v>
      </c>
      <c r="T46" t="s">
        <v>160</v>
      </c>
      <c r="U46" t="s">
        <v>156</v>
      </c>
      <c r="V46" t="s">
        <v>199</v>
      </c>
      <c r="CN46" s="6">
        <v>43</v>
      </c>
      <c r="CO46" s="6" t="s">
        <v>897</v>
      </c>
      <c r="CP46" s="6" t="s">
        <v>67</v>
      </c>
      <c r="CR46" s="12" t="str">
        <f>A172</f>
        <v>UZBEKISTAN</v>
      </c>
      <c r="CS46" s="12" t="s">
        <v>133</v>
      </c>
      <c r="CT46" s="12">
        <f t="shared" si="19"/>
        <v>0</v>
      </c>
      <c r="CU46" s="12">
        <f t="shared" si="19"/>
        <v>0</v>
      </c>
      <c r="CV46" s="12">
        <f t="shared" si="19"/>
        <v>0</v>
      </c>
      <c r="CW46" s="12">
        <f t="shared" si="19"/>
        <v>0</v>
      </c>
      <c r="CX46" s="12">
        <f t="shared" si="1"/>
        <v>4.5999999999999999E-7</v>
      </c>
      <c r="CY46" s="12">
        <f t="shared" si="2"/>
        <v>6</v>
      </c>
      <c r="CZ46" s="12">
        <f t="shared" si="3"/>
        <v>4.5999999999999999E-7</v>
      </c>
      <c r="DA46" s="12">
        <f t="shared" si="4"/>
        <v>6</v>
      </c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</row>
    <row r="47" spans="1:118" x14ac:dyDescent="0.25">
      <c r="A47" s="1" t="str">
        <f>E5</f>
        <v>SUIZA</v>
      </c>
      <c r="B47" s="1">
        <f>SUMPRODUCT((Quiniela!D25:D30=A47)*(Quiniela!E25:E30&lt;&gt;""))+SUMPRODUCT((Quiniela!G25:G30=A47)*(Quiniela!I25:I30&lt;&gt;""))</f>
        <v>0</v>
      </c>
      <c r="C47" s="1">
        <f>SUMPRODUCT(((Quiniela!D25:D30=A47)*(Quiniela!E25:E30&gt;Quiniela!I25:I30))+((Quiniela!G25:G30=A47)*(Quiniela!I25:I30&gt;Quiniela!E25:E30)))</f>
        <v>0</v>
      </c>
      <c r="D47" s="1">
        <f>SUMPRODUCT(((Quiniela!D25:D30=A47)*(Quiniela!E25:E30&lt;Quiniela!I25:I30))+((Quiniela!G25:G30=A47)*(Quiniela!I25:I30&lt;Quiniela!E25:E30)))</f>
        <v>0</v>
      </c>
      <c r="E47" s="1">
        <f>SUMPRODUCT(((Quiniela!D25:D30=A47)*(Quiniela!E25:E30=Quiniela!I25:I30)*(Quiniela!E25:E30&lt;&gt;""))+((Quiniela!G25:G30=A47)*(Quiniela!I25:I30=Quiniela!E25:E30)*(Quiniela!I25:I30&lt;&gt;"")))</f>
        <v>0</v>
      </c>
      <c r="F47" s="1">
        <f>C47*3+E47</f>
        <v>0</v>
      </c>
      <c r="G47" s="1">
        <f>SUMIF(Quiniela!$D$25:$D$30,A47,Quiniela!$E$25:$E$30)+SUMIF(Quiniela!$G$25:$G$30,A47,Quiniela!$I$25:$I$30)</f>
        <v>0</v>
      </c>
      <c r="H47" s="1">
        <f>SUMIF(Quiniela!$D$25:$D$30,A47,Quiniela!$I$25:$I$30)+SUMIF(Quiniela!$G$25:$G$30,A47,Quiniela!$E$25:$E$30)</f>
        <v>0</v>
      </c>
      <c r="I47" s="1">
        <f>G47-H47</f>
        <v>0</v>
      </c>
      <c r="J47" s="1">
        <f>F47+I47/100+G47/10000+0.0000001</f>
        <v>9.9999999999999995E-8</v>
      </c>
      <c r="K47" s="1">
        <f>RANK(J47,$J$44:$J$47,0)</f>
        <v>4</v>
      </c>
      <c r="M47">
        <v>27</v>
      </c>
      <c r="N47" t="s">
        <v>105</v>
      </c>
      <c r="O47" t="s">
        <v>119</v>
      </c>
      <c r="P47" t="s">
        <v>138</v>
      </c>
      <c r="Q47" t="s">
        <v>89</v>
      </c>
      <c r="R47" t="s">
        <v>125</v>
      </c>
      <c r="S47" t="s">
        <v>96</v>
      </c>
      <c r="T47" t="s">
        <v>160</v>
      </c>
      <c r="U47" t="s">
        <v>156</v>
      </c>
      <c r="V47" t="s">
        <v>200</v>
      </c>
      <c r="CN47" s="6">
        <v>44</v>
      </c>
      <c r="CO47" s="6" t="s">
        <v>898</v>
      </c>
      <c r="CP47" s="6" t="s">
        <v>67</v>
      </c>
      <c r="CR47" s="12" t="str">
        <f>A173</f>
        <v>COLOMBIA</v>
      </c>
      <c r="CS47" s="12" t="s">
        <v>133</v>
      </c>
      <c r="CT47" s="12">
        <f t="shared" si="19"/>
        <v>0</v>
      </c>
      <c r="CU47" s="12">
        <f t="shared" si="19"/>
        <v>0</v>
      </c>
      <c r="CV47" s="12">
        <f t="shared" si="19"/>
        <v>0</v>
      </c>
      <c r="CW47" s="12">
        <f t="shared" si="19"/>
        <v>0</v>
      </c>
      <c r="CX47" s="12">
        <f t="shared" si="1"/>
        <v>4.7E-7</v>
      </c>
      <c r="CY47" s="12">
        <f t="shared" si="2"/>
        <v>5</v>
      </c>
      <c r="CZ47" s="12">
        <f t="shared" si="3"/>
        <v>4.7E-7</v>
      </c>
      <c r="DA47" s="12">
        <f t="shared" si="4"/>
        <v>5</v>
      </c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</row>
    <row r="48" spans="1:118" x14ac:dyDescent="0.25">
      <c r="A48" s="137" t="s">
        <v>201</v>
      </c>
      <c r="B48" s="138"/>
      <c r="C48" s="138"/>
      <c r="D48" s="138"/>
      <c r="E48" s="138"/>
      <c r="F48" s="138"/>
      <c r="G48" s="138"/>
      <c r="H48" s="138"/>
      <c r="I48" s="138"/>
      <c r="J48" s="138"/>
      <c r="K48" s="138"/>
      <c r="M48">
        <v>28</v>
      </c>
      <c r="N48" t="s">
        <v>105</v>
      </c>
      <c r="O48" t="s">
        <v>119</v>
      </c>
      <c r="P48" t="s">
        <v>131</v>
      </c>
      <c r="Q48" t="s">
        <v>89</v>
      </c>
      <c r="R48" t="s">
        <v>125</v>
      </c>
      <c r="S48" t="s">
        <v>96</v>
      </c>
      <c r="T48" t="s">
        <v>160</v>
      </c>
      <c r="U48" t="s">
        <v>156</v>
      </c>
      <c r="V48" t="s">
        <v>202</v>
      </c>
      <c r="CN48" s="6">
        <v>45</v>
      </c>
      <c r="CO48" s="6" t="s">
        <v>900</v>
      </c>
      <c r="CP48" s="6" t="s">
        <v>67</v>
      </c>
      <c r="CR48" s="12" t="str">
        <f>A184</f>
        <v>INGLATERRA</v>
      </c>
      <c r="CS48" s="12" t="s">
        <v>151</v>
      </c>
      <c r="CT48" s="12">
        <f t="shared" ref="CT48:CW51" si="20">F184</f>
        <v>0</v>
      </c>
      <c r="CU48" s="12">
        <f t="shared" si="20"/>
        <v>0</v>
      </c>
      <c r="CV48" s="12">
        <f t="shared" si="20"/>
        <v>0</v>
      </c>
      <c r="CW48" s="12">
        <f t="shared" si="20"/>
        <v>0</v>
      </c>
      <c r="CX48" s="12">
        <f t="shared" si="1"/>
        <v>4.7999999999999996E-7</v>
      </c>
      <c r="CY48" s="12">
        <f t="shared" si="2"/>
        <v>4</v>
      </c>
      <c r="CZ48" s="12">
        <f t="shared" si="3"/>
        <v>4.7999999999999996E-7</v>
      </c>
      <c r="DA48" s="12">
        <f t="shared" si="4"/>
        <v>4</v>
      </c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</row>
    <row r="49" spans="1:118" x14ac:dyDescent="0.25">
      <c r="B49" s="2" t="s">
        <v>66</v>
      </c>
      <c r="C49" s="2" t="s">
        <v>169</v>
      </c>
      <c r="D49" s="2" t="s">
        <v>170</v>
      </c>
      <c r="E49" s="2" t="s">
        <v>171</v>
      </c>
      <c r="M49">
        <v>29</v>
      </c>
      <c r="N49" t="s">
        <v>105</v>
      </c>
      <c r="O49" t="s">
        <v>119</v>
      </c>
      <c r="P49" t="s">
        <v>138</v>
      </c>
      <c r="Q49" t="s">
        <v>89</v>
      </c>
      <c r="R49" t="s">
        <v>125</v>
      </c>
      <c r="S49" t="s">
        <v>96</v>
      </c>
      <c r="T49" t="s">
        <v>160</v>
      </c>
      <c r="U49" t="s">
        <v>131</v>
      </c>
      <c r="V49" t="s">
        <v>203</v>
      </c>
      <c r="CN49" s="6">
        <v>46</v>
      </c>
      <c r="CO49" s="6" t="s">
        <v>899</v>
      </c>
      <c r="CP49" s="6" t="s">
        <v>67</v>
      </c>
      <c r="CR49" s="12" t="str">
        <f>A185</f>
        <v>CROACIA</v>
      </c>
      <c r="CS49" s="12" t="s">
        <v>151</v>
      </c>
      <c r="CT49" s="12">
        <f t="shared" si="20"/>
        <v>0</v>
      </c>
      <c r="CU49" s="12">
        <f t="shared" si="20"/>
        <v>0</v>
      </c>
      <c r="CV49" s="12">
        <f t="shared" si="20"/>
        <v>0</v>
      </c>
      <c r="CW49" s="12">
        <f t="shared" si="20"/>
        <v>0</v>
      </c>
      <c r="CX49" s="12">
        <f t="shared" si="1"/>
        <v>4.8999999999999997E-7</v>
      </c>
      <c r="CY49" s="12">
        <f t="shared" si="2"/>
        <v>3</v>
      </c>
      <c r="CZ49" s="12">
        <f t="shared" si="3"/>
        <v>4.8999999999999997E-7</v>
      </c>
      <c r="DA49" s="12">
        <f t="shared" si="4"/>
        <v>3</v>
      </c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</row>
    <row r="50" spans="1:118" x14ac:dyDescent="0.25">
      <c r="B50" s="1">
        <f>IF(Quiniela!E33="",0,IF(Quiniela!E33&gt;Quiniela!I33,Quiniela!D33,IF(Quiniela!I33&gt;Quiniela!E33,Quiniela!G33,"X")))</f>
        <v>0</v>
      </c>
      <c r="C50" s="1">
        <f>IF(Quiniela!E33="",0,IF(B50="X",0,IF(B50=Quiniela!D33,Quiniela!G33,Quiniela!D33)))</f>
        <v>0</v>
      </c>
      <c r="D50" s="1">
        <f>IF(B50="X",Quiniela!D33,0)</f>
        <v>0</v>
      </c>
      <c r="E50" s="1">
        <f>IF(B50="X",Quiniela!G33,0)</f>
        <v>0</v>
      </c>
      <c r="M50">
        <v>30</v>
      </c>
      <c r="N50" t="s">
        <v>105</v>
      </c>
      <c r="O50" t="s">
        <v>119</v>
      </c>
      <c r="P50" t="s">
        <v>138</v>
      </c>
      <c r="Q50" t="s">
        <v>89</v>
      </c>
      <c r="R50" t="s">
        <v>125</v>
      </c>
      <c r="S50" t="s">
        <v>96</v>
      </c>
      <c r="T50" t="s">
        <v>131</v>
      </c>
      <c r="U50" t="s">
        <v>156</v>
      </c>
      <c r="V50" t="s">
        <v>204</v>
      </c>
      <c r="CN50" s="6">
        <v>47</v>
      </c>
      <c r="CO50" s="6" t="s">
        <v>902</v>
      </c>
      <c r="CP50" s="6" t="s">
        <v>67</v>
      </c>
      <c r="CR50" s="12" t="str">
        <f>A186</f>
        <v>GHANA</v>
      </c>
      <c r="CS50" s="12" t="s">
        <v>151</v>
      </c>
      <c r="CT50" s="12">
        <f t="shared" si="20"/>
        <v>0</v>
      </c>
      <c r="CU50" s="12">
        <f t="shared" si="20"/>
        <v>0</v>
      </c>
      <c r="CV50" s="12">
        <f t="shared" si="20"/>
        <v>0</v>
      </c>
      <c r="CW50" s="12">
        <f t="shared" si="20"/>
        <v>0</v>
      </c>
      <c r="CX50" s="12">
        <f t="shared" si="1"/>
        <v>4.9999999999999998E-7</v>
      </c>
      <c r="CY50" s="12">
        <f t="shared" si="2"/>
        <v>2</v>
      </c>
      <c r="CZ50" s="12">
        <f t="shared" si="3"/>
        <v>4.9999999999999998E-7</v>
      </c>
      <c r="DA50" s="12">
        <f t="shared" si="4"/>
        <v>2</v>
      </c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</row>
    <row r="51" spans="1:118" x14ac:dyDescent="0.25">
      <c r="B51" s="1">
        <f>IF(Quiniela!E34="",0,IF(Quiniela!E34&gt;Quiniela!I34,Quiniela!D34,IF(Quiniela!I34&gt;Quiniela!E34,Quiniela!G34,"X")))</f>
        <v>0</v>
      </c>
      <c r="C51" s="1">
        <f>IF(Quiniela!E34="",0,IF(B51="X",0,IF(B51=Quiniela!D34,Quiniela!G34,Quiniela!D34)))</f>
        <v>0</v>
      </c>
      <c r="D51" s="1">
        <f>IF(B51="X",Quiniela!D34,0)</f>
        <v>0</v>
      </c>
      <c r="E51" s="1">
        <f>IF(B51="X",Quiniela!G34,0)</f>
        <v>0</v>
      </c>
      <c r="M51">
        <v>31</v>
      </c>
      <c r="N51" t="s">
        <v>89</v>
      </c>
      <c r="O51" t="s">
        <v>138</v>
      </c>
      <c r="P51" t="s">
        <v>105</v>
      </c>
      <c r="Q51" t="s">
        <v>96</v>
      </c>
      <c r="R51" t="s">
        <v>131</v>
      </c>
      <c r="S51" t="s">
        <v>111</v>
      </c>
      <c r="T51" t="s">
        <v>160</v>
      </c>
      <c r="U51" t="s">
        <v>156</v>
      </c>
      <c r="V51" t="s">
        <v>205</v>
      </c>
      <c r="CN51" s="6">
        <v>48</v>
      </c>
      <c r="CO51" s="6" t="s">
        <v>901</v>
      </c>
      <c r="CP51" s="6" t="s">
        <v>67</v>
      </c>
      <c r="CR51" s="12" t="str">
        <f>A187</f>
        <v>PANAMA</v>
      </c>
      <c r="CS51" s="12" t="s">
        <v>151</v>
      </c>
      <c r="CT51" s="12">
        <f t="shared" si="20"/>
        <v>0</v>
      </c>
      <c r="CU51" s="12">
        <f t="shared" si="20"/>
        <v>0</v>
      </c>
      <c r="CV51" s="12">
        <f t="shared" si="20"/>
        <v>0</v>
      </c>
      <c r="CW51" s="12">
        <f t="shared" si="20"/>
        <v>0</v>
      </c>
      <c r="CX51" s="12">
        <f t="shared" si="1"/>
        <v>5.0999999999999999E-7</v>
      </c>
      <c r="CY51" s="12">
        <f t="shared" si="2"/>
        <v>1</v>
      </c>
      <c r="CZ51" s="12">
        <f t="shared" si="3"/>
        <v>5.0999999999999999E-7</v>
      </c>
      <c r="DA51" s="12">
        <f t="shared" si="4"/>
        <v>1</v>
      </c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</row>
    <row r="52" spans="1:118" x14ac:dyDescent="0.25">
      <c r="B52" s="1">
        <f>IF(Quiniela!E35="",0,IF(Quiniela!E35&gt;Quiniela!I35,Quiniela!D35,IF(Quiniela!I35&gt;Quiniela!E35,Quiniela!G35,"X")))</f>
        <v>0</v>
      </c>
      <c r="C52" s="1">
        <f>IF(Quiniela!E35="",0,IF(B52="X",0,IF(B52=Quiniela!D35,Quiniela!G35,Quiniela!D35)))</f>
        <v>0</v>
      </c>
      <c r="D52" s="1">
        <f>IF(B52="X",Quiniela!D35,0)</f>
        <v>0</v>
      </c>
      <c r="E52" s="1">
        <f>IF(B52="X",Quiniela!G35,0)</f>
        <v>0</v>
      </c>
      <c r="M52">
        <v>32</v>
      </c>
      <c r="N52" t="s">
        <v>89</v>
      </c>
      <c r="O52" t="s">
        <v>138</v>
      </c>
      <c r="P52" t="s">
        <v>105</v>
      </c>
      <c r="Q52" t="s">
        <v>96</v>
      </c>
      <c r="R52" t="s">
        <v>125</v>
      </c>
      <c r="S52" t="s">
        <v>111</v>
      </c>
      <c r="T52" t="s">
        <v>160</v>
      </c>
      <c r="U52" t="s">
        <v>156</v>
      </c>
      <c r="V52" t="s">
        <v>206</v>
      </c>
      <c r="CN52" s="6">
        <v>49</v>
      </c>
      <c r="CO52" s="6" t="s">
        <v>903</v>
      </c>
      <c r="CP52" s="6" t="s">
        <v>67</v>
      </c>
    </row>
    <row r="53" spans="1:118" x14ac:dyDescent="0.25">
      <c r="B53" s="1">
        <f>IF(Quiniela!E36="",0,IF(Quiniela!E36&gt;Quiniela!I36,Quiniela!D36,IF(Quiniela!I36&gt;Quiniela!E36,Quiniela!G36,"X")))</f>
        <v>0</v>
      </c>
      <c r="C53" s="1">
        <f>IF(Quiniela!E36="",0,IF(B53="X",0,IF(B53=Quiniela!D36,Quiniela!G36,Quiniela!D36)))</f>
        <v>0</v>
      </c>
      <c r="D53" s="1">
        <f>IF(B53="X",Quiniela!D36,0)</f>
        <v>0</v>
      </c>
      <c r="E53" s="1">
        <f>IF(B53="X",Quiniela!G36,0)</f>
        <v>0</v>
      </c>
      <c r="M53">
        <v>33</v>
      </c>
      <c r="N53" t="s">
        <v>89</v>
      </c>
      <c r="O53" t="s">
        <v>105</v>
      </c>
      <c r="P53" t="s">
        <v>131</v>
      </c>
      <c r="Q53" t="s">
        <v>96</v>
      </c>
      <c r="R53" t="s">
        <v>125</v>
      </c>
      <c r="S53" t="s">
        <v>111</v>
      </c>
      <c r="T53" t="s">
        <v>160</v>
      </c>
      <c r="U53" t="s">
        <v>156</v>
      </c>
      <c r="V53" t="s">
        <v>207</v>
      </c>
      <c r="CN53" s="6">
        <v>50</v>
      </c>
      <c r="CO53" s="6" t="s">
        <v>904</v>
      </c>
      <c r="CP53" s="6" t="s">
        <v>67</v>
      </c>
    </row>
    <row r="54" spans="1:118" x14ac:dyDescent="0.25">
      <c r="B54" s="1">
        <f>IF(Quiniela!E37="",0,IF(Quiniela!E37&gt;Quiniela!I37,Quiniela!D37,IF(Quiniela!I37&gt;Quiniela!E37,Quiniela!G37,"X")))</f>
        <v>0</v>
      </c>
      <c r="C54" s="1">
        <f>IF(Quiniela!E37="",0,IF(B54="X",0,IF(B54=Quiniela!D37,Quiniela!G37,Quiniela!D37)))</f>
        <v>0</v>
      </c>
      <c r="D54" s="1">
        <f>IF(B54="X",Quiniela!D37,0)</f>
        <v>0</v>
      </c>
      <c r="E54" s="1">
        <f>IF(B54="X",Quiniela!G37,0)</f>
        <v>0</v>
      </c>
      <c r="M54">
        <v>34</v>
      </c>
      <c r="N54" t="s">
        <v>89</v>
      </c>
      <c r="O54" t="s">
        <v>138</v>
      </c>
      <c r="P54" t="s">
        <v>105</v>
      </c>
      <c r="Q54" t="s">
        <v>96</v>
      </c>
      <c r="R54" t="s">
        <v>125</v>
      </c>
      <c r="S54" t="s">
        <v>111</v>
      </c>
      <c r="T54" t="s">
        <v>160</v>
      </c>
      <c r="U54" t="s">
        <v>131</v>
      </c>
      <c r="V54" t="s">
        <v>208</v>
      </c>
      <c r="CN54" s="6">
        <v>51</v>
      </c>
      <c r="CO54" s="6" t="s">
        <v>906</v>
      </c>
      <c r="CP54" s="6" t="s">
        <v>67</v>
      </c>
    </row>
    <row r="55" spans="1:118" x14ac:dyDescent="0.25">
      <c r="B55" s="1">
        <f>IF(Quiniela!E38="",0,IF(Quiniela!E38&gt;Quiniela!I38,Quiniela!D38,IF(Quiniela!I38&gt;Quiniela!E38,Quiniela!G38,"X")))</f>
        <v>0</v>
      </c>
      <c r="C55" s="1">
        <f>IF(Quiniela!E38="",0,IF(B55="X",0,IF(B55=Quiniela!D38,Quiniela!G38,Quiniela!D38)))</f>
        <v>0</v>
      </c>
      <c r="D55" s="1">
        <f>IF(B55="X",Quiniela!D38,0)</f>
        <v>0</v>
      </c>
      <c r="E55" s="1">
        <f>IF(B55="X",Quiniela!G38,0)</f>
        <v>0</v>
      </c>
      <c r="M55">
        <v>35</v>
      </c>
      <c r="N55" t="s">
        <v>89</v>
      </c>
      <c r="O55" t="s">
        <v>138</v>
      </c>
      <c r="P55" t="s">
        <v>105</v>
      </c>
      <c r="Q55" t="s">
        <v>96</v>
      </c>
      <c r="R55" t="s">
        <v>125</v>
      </c>
      <c r="S55" t="s">
        <v>111</v>
      </c>
      <c r="T55" t="s">
        <v>131</v>
      </c>
      <c r="U55" t="s">
        <v>156</v>
      </c>
      <c r="V55" t="s">
        <v>209</v>
      </c>
      <c r="CN55" s="6">
        <v>52</v>
      </c>
      <c r="CO55" s="6" t="s">
        <v>905</v>
      </c>
      <c r="CP55" s="6" t="s">
        <v>67</v>
      </c>
    </row>
    <row r="56" spans="1:118" x14ac:dyDescent="0.25">
      <c r="M56">
        <v>36</v>
      </c>
      <c r="N56" t="s">
        <v>89</v>
      </c>
      <c r="O56" t="s">
        <v>119</v>
      </c>
      <c r="P56" t="s">
        <v>105</v>
      </c>
      <c r="Q56" t="s">
        <v>96</v>
      </c>
      <c r="R56" t="s">
        <v>138</v>
      </c>
      <c r="S56" t="s">
        <v>111</v>
      </c>
      <c r="T56" t="s">
        <v>160</v>
      </c>
      <c r="U56" t="s">
        <v>156</v>
      </c>
      <c r="V56" t="s">
        <v>210</v>
      </c>
      <c r="CN56" s="6">
        <v>53</v>
      </c>
      <c r="CO56" s="6" t="s">
        <v>907</v>
      </c>
      <c r="CP56" s="6" t="s">
        <v>67</v>
      </c>
    </row>
    <row r="57" spans="1:118" x14ac:dyDescent="0.25">
      <c r="A57" s="3" t="s">
        <v>13</v>
      </c>
      <c r="B57" s="3" t="s">
        <v>14</v>
      </c>
      <c r="C57" s="3" t="s">
        <v>15</v>
      </c>
      <c r="D57" s="3" t="s">
        <v>16</v>
      </c>
      <c r="E57" s="3" t="s">
        <v>17</v>
      </c>
      <c r="F57" s="3" t="s">
        <v>18</v>
      </c>
      <c r="G57" s="3" t="s">
        <v>59</v>
      </c>
      <c r="H57" s="3" t="s">
        <v>180</v>
      </c>
      <c r="I57" s="3" t="s">
        <v>19</v>
      </c>
      <c r="J57" s="3" t="s">
        <v>60</v>
      </c>
      <c r="K57" s="3" t="s">
        <v>12</v>
      </c>
      <c r="M57">
        <v>37</v>
      </c>
      <c r="N57" t="s">
        <v>89</v>
      </c>
      <c r="O57" t="s">
        <v>119</v>
      </c>
      <c r="P57" t="s">
        <v>105</v>
      </c>
      <c r="Q57" t="s">
        <v>96</v>
      </c>
      <c r="R57" t="s">
        <v>131</v>
      </c>
      <c r="S57" t="s">
        <v>111</v>
      </c>
      <c r="T57" t="s">
        <v>160</v>
      </c>
      <c r="U57" t="s">
        <v>156</v>
      </c>
      <c r="V57" t="s">
        <v>211</v>
      </c>
      <c r="CN57" s="6">
        <v>54</v>
      </c>
      <c r="CO57" s="6" t="s">
        <v>908</v>
      </c>
      <c r="CP57" s="6" t="s">
        <v>67</v>
      </c>
    </row>
    <row r="58" spans="1:118" x14ac:dyDescent="0.25">
      <c r="A58" s="1" t="str">
        <f>B6</f>
        <v>BRASIL</v>
      </c>
      <c r="B58" s="1">
        <f>SUMPRODUCT((Quiniela!D33:D38=A58)*(Quiniela!E33:E38&lt;&gt;""))+SUMPRODUCT((Quiniela!G33:G38=A58)*(Quiniela!I33:I38&lt;&gt;""))</f>
        <v>0</v>
      </c>
      <c r="C58" s="1">
        <f>SUMPRODUCT(((Quiniela!D33:D38=A58)*(Quiniela!E33:E38&gt;Quiniela!I33:I38))+((Quiniela!G33:G38=A58)*(Quiniela!I33:I38&gt;Quiniela!E33:E38)))</f>
        <v>0</v>
      </c>
      <c r="D58" s="1">
        <f>SUMPRODUCT(((Quiniela!D33:D38=A58)*(Quiniela!E33:E38&lt;Quiniela!I33:I38))+((Quiniela!G33:G38=A58)*(Quiniela!I33:I38&lt;Quiniela!E33:E38)))</f>
        <v>0</v>
      </c>
      <c r="E58" s="1">
        <f>SUMPRODUCT(((Quiniela!D33:D38=A58)*(Quiniela!E33:E38=Quiniela!I33:I38)*(Quiniela!E33:E38&lt;&gt;""))+((Quiniela!G33:G38=A58)*(Quiniela!I33:I38=Quiniela!E33:E38)*(Quiniela!I33:I38&lt;&gt;"")))</f>
        <v>0</v>
      </c>
      <c r="F58" s="1">
        <f>C58*3+E58</f>
        <v>0</v>
      </c>
      <c r="G58" s="1">
        <f>SUMIF(Quiniela!$D$33:$D$38,A58,Quiniela!$E$33:$E$38)+SUMIF(Quiniela!$G$33:$G$38,A58,Quiniela!$I$33:$I$38)</f>
        <v>0</v>
      </c>
      <c r="H58" s="1">
        <f>SUMIF(Quiniela!$D$33:$D$38,A58,Quiniela!$I$33:$I$38)+SUMIF(Quiniela!$G$33:$G$38,A58,Quiniela!$E$33:$E$38)</f>
        <v>0</v>
      </c>
      <c r="I58" s="1">
        <f>G58-H58</f>
        <v>0</v>
      </c>
      <c r="J58" s="1">
        <f>F58+I58/100+G58/10000+0.0000004</f>
        <v>3.9999999999999998E-7</v>
      </c>
      <c r="K58" s="1">
        <f>RANK(J58,$J$58:$J$61,0)</f>
        <v>1</v>
      </c>
      <c r="M58">
        <v>38</v>
      </c>
      <c r="N58" t="s">
        <v>89</v>
      </c>
      <c r="O58" t="s">
        <v>119</v>
      </c>
      <c r="P58" t="s">
        <v>105</v>
      </c>
      <c r="Q58" t="s">
        <v>96</v>
      </c>
      <c r="R58" t="s">
        <v>138</v>
      </c>
      <c r="S58" t="s">
        <v>111</v>
      </c>
      <c r="T58" t="s">
        <v>160</v>
      </c>
      <c r="U58" t="s">
        <v>131</v>
      </c>
      <c r="V58" t="s">
        <v>212</v>
      </c>
      <c r="CN58" s="6">
        <v>55</v>
      </c>
      <c r="CO58" s="6" t="s">
        <v>909</v>
      </c>
      <c r="CP58" s="6" t="s">
        <v>67</v>
      </c>
    </row>
    <row r="59" spans="1:118" x14ac:dyDescent="0.25">
      <c r="A59" s="1" t="str">
        <f>C6</f>
        <v>MARRUECOS</v>
      </c>
      <c r="B59" s="1">
        <f>SUMPRODUCT((Quiniela!D33:D38=A59)*(Quiniela!E33:E38&lt;&gt;""))+SUMPRODUCT((Quiniela!G33:G38=A59)*(Quiniela!I33:I38&lt;&gt;""))</f>
        <v>0</v>
      </c>
      <c r="C59" s="1">
        <f>SUMPRODUCT(((Quiniela!D33:D38=A59)*(Quiniela!E33:E38&gt;Quiniela!I33:I38))+((Quiniela!G33:G38=A59)*(Quiniela!I33:I38&gt;Quiniela!E33:E38)))</f>
        <v>0</v>
      </c>
      <c r="D59" s="1">
        <f>SUMPRODUCT(((Quiniela!D33:D38=A59)*(Quiniela!E33:E38&lt;Quiniela!I33:I38))+((Quiniela!G33:G38=A59)*(Quiniela!I33:I38&lt;Quiniela!E33:E38)))</f>
        <v>0</v>
      </c>
      <c r="E59" s="1">
        <f>SUMPRODUCT(((Quiniela!D33:D38=A59)*(Quiniela!E33:E38=Quiniela!I33:I38)*(Quiniela!E33:E38&lt;&gt;""))+((Quiniela!G33:G38=A59)*(Quiniela!I33:I38=Quiniela!E33:E38)*(Quiniela!I33:I38&lt;&gt;"")))</f>
        <v>0</v>
      </c>
      <c r="F59" s="1">
        <f>C59*3+E59</f>
        <v>0</v>
      </c>
      <c r="G59" s="1">
        <f>SUMIF(Quiniela!$D$33:$D$38,A59,Quiniela!$E$33:$E$38)+SUMIF(Quiniela!$G$33:$G$38,A59,Quiniela!$I$33:$I$38)</f>
        <v>0</v>
      </c>
      <c r="H59" s="1">
        <f>SUMIF(Quiniela!$D$33:$D$38,A59,Quiniela!$I$33:$I$38)+SUMIF(Quiniela!$G$33:$G$38,A59,Quiniela!$E$33:$E$38)</f>
        <v>0</v>
      </c>
      <c r="I59" s="1">
        <f>G59-H59</f>
        <v>0</v>
      </c>
      <c r="J59" s="1">
        <f>F59+I59/100+G59/10000+0.0000003</f>
        <v>2.9999999999999999E-7</v>
      </c>
      <c r="K59" s="1">
        <f>RANK(J59,$J$58:$J$61,0)</f>
        <v>2</v>
      </c>
      <c r="M59">
        <v>39</v>
      </c>
      <c r="N59" t="s">
        <v>89</v>
      </c>
      <c r="O59" t="s">
        <v>119</v>
      </c>
      <c r="P59" t="s">
        <v>105</v>
      </c>
      <c r="Q59" t="s">
        <v>96</v>
      </c>
      <c r="R59" t="s">
        <v>138</v>
      </c>
      <c r="S59" t="s">
        <v>111</v>
      </c>
      <c r="T59" t="s">
        <v>131</v>
      </c>
      <c r="U59" t="s">
        <v>156</v>
      </c>
      <c r="V59" t="s">
        <v>213</v>
      </c>
      <c r="CN59" s="6">
        <v>56</v>
      </c>
      <c r="CO59" s="6" t="s">
        <v>959</v>
      </c>
      <c r="CP59" s="6" t="s">
        <v>67</v>
      </c>
    </row>
    <row r="60" spans="1:118" x14ac:dyDescent="0.25">
      <c r="A60" s="1" t="str">
        <f>D6</f>
        <v>HAITI</v>
      </c>
      <c r="B60" s="1">
        <f>SUMPRODUCT((Quiniela!D33:D38=A60)*(Quiniela!E33:E38&lt;&gt;""))+SUMPRODUCT((Quiniela!G33:G38=A60)*(Quiniela!I33:I38&lt;&gt;""))</f>
        <v>0</v>
      </c>
      <c r="C60" s="1">
        <f>SUMPRODUCT(((Quiniela!D33:D38=A60)*(Quiniela!E33:E38&gt;Quiniela!I33:I38))+((Quiniela!G33:G38=A60)*(Quiniela!I33:I38&gt;Quiniela!E33:E38)))</f>
        <v>0</v>
      </c>
      <c r="D60" s="1">
        <f>SUMPRODUCT(((Quiniela!D33:D38=A60)*(Quiniela!E33:E38&lt;Quiniela!I33:I38))+((Quiniela!G33:G38=A60)*(Quiniela!I33:I38&lt;Quiniela!E33:E38)))</f>
        <v>0</v>
      </c>
      <c r="E60" s="1">
        <f>SUMPRODUCT(((Quiniela!D33:D38=A60)*(Quiniela!E33:E38=Quiniela!I33:I38)*(Quiniela!E33:E38&lt;&gt;""))+((Quiniela!G33:G38=A60)*(Quiniela!I33:I38=Quiniela!E33:E38)*(Quiniela!I33:I38&lt;&gt;"")))</f>
        <v>0</v>
      </c>
      <c r="F60" s="1">
        <f>C60*3+E60</f>
        <v>0</v>
      </c>
      <c r="G60" s="1">
        <f>SUMIF(Quiniela!$D$33:$D$38,A60,Quiniela!$E$33:$E$38)+SUMIF(Quiniela!$G$33:$G$38,A60,Quiniela!$I$33:$I$38)</f>
        <v>0</v>
      </c>
      <c r="H60" s="1">
        <f>SUMIF(Quiniela!$D$33:$D$38,A60,Quiniela!$I$33:$I$38)+SUMIF(Quiniela!$G$33:$G$38,A60,Quiniela!$E$33:$E$38)</f>
        <v>0</v>
      </c>
      <c r="I60" s="1">
        <f>G60-H60</f>
        <v>0</v>
      </c>
      <c r="J60" s="1">
        <f>F60+I60/100+G60/10000+0.0000002</f>
        <v>1.9999999999999999E-7</v>
      </c>
      <c r="K60" s="1">
        <f>RANK(J60,$J$58:$J$61,0)</f>
        <v>3</v>
      </c>
      <c r="M60">
        <v>40</v>
      </c>
      <c r="N60" t="s">
        <v>89</v>
      </c>
      <c r="O60" t="s">
        <v>119</v>
      </c>
      <c r="P60" t="s">
        <v>105</v>
      </c>
      <c r="Q60" t="s">
        <v>96</v>
      </c>
      <c r="R60" t="s">
        <v>125</v>
      </c>
      <c r="S60" t="s">
        <v>111</v>
      </c>
      <c r="T60" t="s">
        <v>160</v>
      </c>
      <c r="U60" t="s">
        <v>156</v>
      </c>
      <c r="V60" t="s">
        <v>214</v>
      </c>
      <c r="CN60" s="6">
        <v>57</v>
      </c>
      <c r="CO60" s="6" t="s">
        <v>911</v>
      </c>
      <c r="CP60" s="6" t="s">
        <v>67</v>
      </c>
    </row>
    <row r="61" spans="1:118" x14ac:dyDescent="0.25">
      <c r="A61" s="1" t="str">
        <f>E6</f>
        <v>ESCOCIA</v>
      </c>
      <c r="B61" s="1">
        <f>SUMPRODUCT((Quiniela!D33:D38=A61)*(Quiniela!E33:E38&lt;&gt;""))+SUMPRODUCT((Quiniela!G33:G38=A61)*(Quiniela!I33:I38&lt;&gt;""))</f>
        <v>0</v>
      </c>
      <c r="C61" s="1">
        <f>SUMPRODUCT(((Quiniela!D33:D38=A61)*(Quiniela!E33:E38&gt;Quiniela!I33:I38))+((Quiniela!G33:G38=A61)*(Quiniela!I33:I38&gt;Quiniela!E33:E38)))</f>
        <v>0</v>
      </c>
      <c r="D61" s="1">
        <f>SUMPRODUCT(((Quiniela!D33:D38=A61)*(Quiniela!E33:E38&lt;Quiniela!I33:I38))+((Quiniela!G33:G38=A61)*(Quiniela!I33:I38&lt;Quiniela!E33:E38)))</f>
        <v>0</v>
      </c>
      <c r="E61" s="1">
        <f>SUMPRODUCT(((Quiniela!D33:D38=A61)*(Quiniela!E33:E38=Quiniela!I33:I38)*(Quiniela!E33:E38&lt;&gt;""))+((Quiniela!G33:G38=A61)*(Quiniela!I33:I38=Quiniela!E33:E38)*(Quiniela!I33:I38&lt;&gt;"")))</f>
        <v>0</v>
      </c>
      <c r="F61" s="1">
        <f>C61*3+E61</f>
        <v>0</v>
      </c>
      <c r="G61" s="1">
        <f>SUMIF(Quiniela!$D$33:$D$38,A61,Quiniela!$E$33:$E$38)+SUMIF(Quiniela!$G$33:$G$38,A61,Quiniela!$I$33:$I$38)</f>
        <v>0</v>
      </c>
      <c r="H61" s="1">
        <f>SUMIF(Quiniela!$D$33:$D$38,A61,Quiniela!$I$33:$I$38)+SUMIF(Quiniela!$G$33:$G$38,A61,Quiniela!$E$33:$E$38)</f>
        <v>0</v>
      </c>
      <c r="I61" s="1">
        <f>G61-H61</f>
        <v>0</v>
      </c>
      <c r="J61" s="1">
        <f>F61+I61/100+G61/10000+0.0000001</f>
        <v>9.9999999999999995E-8</v>
      </c>
      <c r="K61" s="1">
        <f>RANK(J61,$J$58:$J$61,0)</f>
        <v>4</v>
      </c>
      <c r="M61">
        <v>41</v>
      </c>
      <c r="N61" t="s">
        <v>89</v>
      </c>
      <c r="O61" t="s">
        <v>119</v>
      </c>
      <c r="P61" t="s">
        <v>138</v>
      </c>
      <c r="Q61" t="s">
        <v>96</v>
      </c>
      <c r="R61" t="s">
        <v>125</v>
      </c>
      <c r="S61" t="s">
        <v>111</v>
      </c>
      <c r="T61" t="s">
        <v>160</v>
      </c>
      <c r="U61" t="s">
        <v>105</v>
      </c>
      <c r="V61" t="s">
        <v>215</v>
      </c>
      <c r="CN61" s="6">
        <v>58</v>
      </c>
      <c r="CO61" s="6" t="s">
        <v>910</v>
      </c>
      <c r="CP61" s="6" t="s">
        <v>67</v>
      </c>
    </row>
    <row r="62" spans="1:118" x14ac:dyDescent="0.25">
      <c r="A62" s="137" t="s">
        <v>216</v>
      </c>
      <c r="B62" s="138"/>
      <c r="C62" s="138"/>
      <c r="D62" s="138"/>
      <c r="E62" s="138"/>
      <c r="F62" s="138"/>
      <c r="G62" s="138"/>
      <c r="H62" s="138"/>
      <c r="I62" s="138"/>
      <c r="J62" s="138"/>
      <c r="K62" s="138"/>
      <c r="M62">
        <v>42</v>
      </c>
      <c r="N62" t="s">
        <v>89</v>
      </c>
      <c r="O62" t="s">
        <v>119</v>
      </c>
      <c r="P62" t="s">
        <v>138</v>
      </c>
      <c r="Q62" t="s">
        <v>96</v>
      </c>
      <c r="R62" t="s">
        <v>125</v>
      </c>
      <c r="S62" t="s">
        <v>111</v>
      </c>
      <c r="T62" t="s">
        <v>105</v>
      </c>
      <c r="U62" t="s">
        <v>156</v>
      </c>
      <c r="V62" t="s">
        <v>217</v>
      </c>
      <c r="CN62" s="6">
        <v>59</v>
      </c>
      <c r="CO62" s="6" t="s">
        <v>912</v>
      </c>
      <c r="CP62" s="6" t="s">
        <v>67</v>
      </c>
    </row>
    <row r="63" spans="1:118" x14ac:dyDescent="0.25">
      <c r="B63" s="2" t="s">
        <v>66</v>
      </c>
      <c r="C63" s="2" t="s">
        <v>169</v>
      </c>
      <c r="D63" s="2" t="s">
        <v>170</v>
      </c>
      <c r="E63" s="2" t="s">
        <v>171</v>
      </c>
      <c r="M63">
        <v>43</v>
      </c>
      <c r="N63" t="s">
        <v>89</v>
      </c>
      <c r="O63" t="s">
        <v>119</v>
      </c>
      <c r="P63" t="s">
        <v>105</v>
      </c>
      <c r="Q63" t="s">
        <v>96</v>
      </c>
      <c r="R63" t="s">
        <v>125</v>
      </c>
      <c r="S63" t="s">
        <v>111</v>
      </c>
      <c r="T63" t="s">
        <v>160</v>
      </c>
      <c r="U63" t="s">
        <v>131</v>
      </c>
      <c r="V63" t="s">
        <v>218</v>
      </c>
      <c r="CN63" s="6">
        <v>60</v>
      </c>
      <c r="CO63" s="6" t="s">
        <v>913</v>
      </c>
      <c r="CP63" s="6" t="s">
        <v>67</v>
      </c>
    </row>
    <row r="64" spans="1:118" x14ac:dyDescent="0.25">
      <c r="B64" s="1">
        <f>IF(Quiniela!E41="",0,IF(Quiniela!E41&gt;Quiniela!I41,Quiniela!D41,IF(Quiniela!I41&gt;Quiniela!E41,Quiniela!G41,"X")))</f>
        <v>0</v>
      </c>
      <c r="C64" s="1">
        <f>IF(Quiniela!E41="",0,IF(B64="X",0,IF(B64=Quiniela!D41,Quiniela!G41,Quiniela!D41)))</f>
        <v>0</v>
      </c>
      <c r="D64" s="1">
        <f>IF(B64="X",Quiniela!D41,0)</f>
        <v>0</v>
      </c>
      <c r="E64" s="1">
        <f>IF(B64="X",Quiniela!G41,0)</f>
        <v>0</v>
      </c>
      <c r="M64">
        <v>44</v>
      </c>
      <c r="N64" t="s">
        <v>89</v>
      </c>
      <c r="O64" t="s">
        <v>119</v>
      </c>
      <c r="P64" t="s">
        <v>105</v>
      </c>
      <c r="Q64" t="s">
        <v>96</v>
      </c>
      <c r="R64" t="s">
        <v>125</v>
      </c>
      <c r="S64" t="s">
        <v>111</v>
      </c>
      <c r="T64" t="s">
        <v>131</v>
      </c>
      <c r="U64" t="s">
        <v>156</v>
      </c>
      <c r="V64" t="s">
        <v>219</v>
      </c>
      <c r="CN64" s="6">
        <v>61</v>
      </c>
      <c r="CO64" s="6" t="s">
        <v>914</v>
      </c>
      <c r="CP64" s="6" t="s">
        <v>67</v>
      </c>
    </row>
    <row r="65" spans="1:94" x14ac:dyDescent="0.25">
      <c r="B65" s="1">
        <f>IF(Quiniela!E42="",0,IF(Quiniela!E42&gt;Quiniela!I42,Quiniela!D42,IF(Quiniela!I42&gt;Quiniela!E42,Quiniela!G42,"X")))</f>
        <v>0</v>
      </c>
      <c r="C65" s="1">
        <f>IF(Quiniela!E42="",0,IF(B65="X",0,IF(B65=Quiniela!D42,Quiniela!G42,Quiniela!D42)))</f>
        <v>0</v>
      </c>
      <c r="D65" s="1">
        <f>IF(B65="X",Quiniela!D42,0)</f>
        <v>0</v>
      </c>
      <c r="E65" s="1">
        <f>IF(B65="X",Quiniela!G42,0)</f>
        <v>0</v>
      </c>
      <c r="M65">
        <v>45</v>
      </c>
      <c r="N65" t="s">
        <v>89</v>
      </c>
      <c r="O65" t="s">
        <v>119</v>
      </c>
      <c r="P65" t="s">
        <v>138</v>
      </c>
      <c r="Q65" t="s">
        <v>96</v>
      </c>
      <c r="R65" t="s">
        <v>125</v>
      </c>
      <c r="S65" t="s">
        <v>111</v>
      </c>
      <c r="T65" t="s">
        <v>105</v>
      </c>
      <c r="U65" t="s">
        <v>131</v>
      </c>
      <c r="V65" t="s">
        <v>220</v>
      </c>
      <c r="CN65" s="6">
        <v>62</v>
      </c>
      <c r="CO65" s="6" t="s">
        <v>915</v>
      </c>
      <c r="CP65" s="6" t="s">
        <v>67</v>
      </c>
    </row>
    <row r="66" spans="1:94" x14ac:dyDescent="0.25">
      <c r="B66" s="1">
        <f>IF(Quiniela!E43="",0,IF(Quiniela!E43&gt;Quiniela!I43,Quiniela!D43,IF(Quiniela!I43&gt;Quiniela!E43,Quiniela!G43,"X")))</f>
        <v>0</v>
      </c>
      <c r="C66" s="1">
        <f>IF(Quiniela!E43="",0,IF(B66="X",0,IF(B66=Quiniela!D43,Quiniela!G43,Quiniela!D43)))</f>
        <v>0</v>
      </c>
      <c r="D66" s="1">
        <f>IF(B66="X",Quiniela!D43,0)</f>
        <v>0</v>
      </c>
      <c r="E66" s="1">
        <f>IF(B66="X",Quiniela!G43,0)</f>
        <v>0</v>
      </c>
      <c r="M66">
        <v>46</v>
      </c>
      <c r="N66" t="s">
        <v>125</v>
      </c>
      <c r="O66" t="s">
        <v>138</v>
      </c>
      <c r="P66" t="s">
        <v>82</v>
      </c>
      <c r="Q66" t="s">
        <v>111</v>
      </c>
      <c r="R66" t="s">
        <v>131</v>
      </c>
      <c r="S66" t="s">
        <v>119</v>
      </c>
      <c r="T66" t="s">
        <v>160</v>
      </c>
      <c r="U66" t="s">
        <v>156</v>
      </c>
      <c r="V66" t="s">
        <v>221</v>
      </c>
      <c r="CN66" s="6">
        <v>63</v>
      </c>
      <c r="CO66" s="6" t="s">
        <v>960</v>
      </c>
      <c r="CP66" s="6" t="s">
        <v>67</v>
      </c>
    </row>
    <row r="67" spans="1:94" x14ac:dyDescent="0.25">
      <c r="B67" s="1">
        <f>IF(Quiniela!E44="",0,IF(Quiniela!E44&gt;Quiniela!I44,Quiniela!D44,IF(Quiniela!I44&gt;Quiniela!E44,Quiniela!G44,"X")))</f>
        <v>0</v>
      </c>
      <c r="C67" s="1">
        <f>IF(Quiniela!E44="",0,IF(B67="X",0,IF(B67=Quiniela!D44,Quiniela!G44,Quiniela!D44)))</f>
        <v>0</v>
      </c>
      <c r="D67" s="1">
        <f>IF(B67="X",Quiniela!D44,0)</f>
        <v>0</v>
      </c>
      <c r="E67" s="1">
        <f>IF(B67="X",Quiniela!G44,0)</f>
        <v>0</v>
      </c>
      <c r="M67">
        <v>47</v>
      </c>
      <c r="N67" t="s">
        <v>105</v>
      </c>
      <c r="O67" t="s">
        <v>138</v>
      </c>
      <c r="P67" t="s">
        <v>131</v>
      </c>
      <c r="Q67" t="s">
        <v>82</v>
      </c>
      <c r="R67" t="s">
        <v>125</v>
      </c>
      <c r="S67" t="s">
        <v>119</v>
      </c>
      <c r="T67" t="s">
        <v>160</v>
      </c>
      <c r="U67" t="s">
        <v>156</v>
      </c>
      <c r="V67" t="s">
        <v>222</v>
      </c>
      <c r="CN67" s="6">
        <v>64</v>
      </c>
      <c r="CO67" s="6" t="s">
        <v>916</v>
      </c>
      <c r="CP67" s="6" t="s">
        <v>67</v>
      </c>
    </row>
    <row r="68" spans="1:94" x14ac:dyDescent="0.25">
      <c r="B68" s="1">
        <f>IF(Quiniela!E45="",0,IF(Quiniela!E45&gt;Quiniela!I45,Quiniela!D45,IF(Quiniela!I45&gt;Quiniela!E45,Quiniela!G45,"X")))</f>
        <v>0</v>
      </c>
      <c r="C68" s="1">
        <f>IF(Quiniela!E45="",0,IF(B68="X",0,IF(B68=Quiniela!D45,Quiniela!G45,Quiniela!D45)))</f>
        <v>0</v>
      </c>
      <c r="D68" s="1">
        <f>IF(B68="X",Quiniela!D45,0)</f>
        <v>0</v>
      </c>
      <c r="E68" s="1">
        <f>IF(B68="X",Quiniela!G45,0)</f>
        <v>0</v>
      </c>
      <c r="M68">
        <v>48</v>
      </c>
      <c r="N68" t="s">
        <v>105</v>
      </c>
      <c r="O68" t="s">
        <v>138</v>
      </c>
      <c r="P68" t="s">
        <v>82</v>
      </c>
      <c r="Q68" t="s">
        <v>111</v>
      </c>
      <c r="R68" t="s">
        <v>131</v>
      </c>
      <c r="S68" t="s">
        <v>125</v>
      </c>
      <c r="T68" t="s">
        <v>160</v>
      </c>
      <c r="U68" t="s">
        <v>156</v>
      </c>
      <c r="V68" t="s">
        <v>223</v>
      </c>
      <c r="CN68" s="6">
        <v>65</v>
      </c>
      <c r="CO68" s="6" t="s">
        <v>917</v>
      </c>
      <c r="CP68" s="6" t="s">
        <v>67</v>
      </c>
    </row>
    <row r="69" spans="1:94" x14ac:dyDescent="0.25">
      <c r="B69" s="1">
        <f>IF(Quiniela!E46="",0,IF(Quiniela!E46&gt;Quiniela!I46,Quiniela!D46,IF(Quiniela!I46&gt;Quiniela!E46,Quiniela!G46,"X")))</f>
        <v>0</v>
      </c>
      <c r="C69" s="1">
        <f>IF(Quiniela!E46="",0,IF(B69="X",0,IF(B69=Quiniela!D46,Quiniela!G46,Quiniela!D46)))</f>
        <v>0</v>
      </c>
      <c r="D69" s="1">
        <f>IF(B69="X",Quiniela!D46,0)</f>
        <v>0</v>
      </c>
      <c r="E69" s="1">
        <f>IF(B69="X",Quiniela!G46,0)</f>
        <v>0</v>
      </c>
      <c r="M69">
        <v>49</v>
      </c>
      <c r="N69" t="s">
        <v>105</v>
      </c>
      <c r="O69" t="s">
        <v>138</v>
      </c>
      <c r="P69" t="s">
        <v>82</v>
      </c>
      <c r="Q69" t="s">
        <v>111</v>
      </c>
      <c r="R69" t="s">
        <v>131</v>
      </c>
      <c r="S69" t="s">
        <v>119</v>
      </c>
      <c r="T69" t="s">
        <v>160</v>
      </c>
      <c r="U69" t="s">
        <v>156</v>
      </c>
      <c r="V69" t="s">
        <v>224</v>
      </c>
      <c r="CN69" s="6">
        <v>66</v>
      </c>
      <c r="CO69" s="6" t="s">
        <v>918</v>
      </c>
      <c r="CP69" s="6" t="s">
        <v>67</v>
      </c>
    </row>
    <row r="70" spans="1:94" x14ac:dyDescent="0.25">
      <c r="M70">
        <v>50</v>
      </c>
      <c r="N70" t="s">
        <v>105</v>
      </c>
      <c r="O70" t="s">
        <v>138</v>
      </c>
      <c r="P70" t="s">
        <v>82</v>
      </c>
      <c r="Q70" t="s">
        <v>111</v>
      </c>
      <c r="R70" t="s">
        <v>125</v>
      </c>
      <c r="S70" t="s">
        <v>119</v>
      </c>
      <c r="T70" t="s">
        <v>160</v>
      </c>
      <c r="U70" t="s">
        <v>156</v>
      </c>
      <c r="V70" t="s">
        <v>225</v>
      </c>
      <c r="CN70" s="6">
        <v>67</v>
      </c>
      <c r="CO70" s="6" t="s">
        <v>919</v>
      </c>
      <c r="CP70" s="6" t="s">
        <v>67</v>
      </c>
    </row>
    <row r="71" spans="1:94" x14ac:dyDescent="0.25">
      <c r="A71" s="3" t="s">
        <v>13</v>
      </c>
      <c r="B71" s="3" t="s">
        <v>14</v>
      </c>
      <c r="C71" s="3" t="s">
        <v>15</v>
      </c>
      <c r="D71" s="3" t="s">
        <v>16</v>
      </c>
      <c r="E71" s="3" t="s">
        <v>17</v>
      </c>
      <c r="F71" s="3" t="s">
        <v>18</v>
      </c>
      <c r="G71" s="3" t="s">
        <v>59</v>
      </c>
      <c r="H71" s="3" t="s">
        <v>180</v>
      </c>
      <c r="I71" s="3" t="s">
        <v>19</v>
      </c>
      <c r="J71" s="3" t="s">
        <v>60</v>
      </c>
      <c r="K71" s="3" t="s">
        <v>12</v>
      </c>
      <c r="M71">
        <v>51</v>
      </c>
      <c r="N71" t="s">
        <v>105</v>
      </c>
      <c r="O71" t="s">
        <v>119</v>
      </c>
      <c r="P71" t="s">
        <v>82</v>
      </c>
      <c r="Q71" t="s">
        <v>111</v>
      </c>
      <c r="R71" t="s">
        <v>131</v>
      </c>
      <c r="S71" t="s">
        <v>125</v>
      </c>
      <c r="T71" t="s">
        <v>160</v>
      </c>
      <c r="U71" t="s">
        <v>156</v>
      </c>
      <c r="V71" t="s">
        <v>226</v>
      </c>
      <c r="CN71" s="6">
        <v>68</v>
      </c>
      <c r="CO71" s="6" t="s">
        <v>920</v>
      </c>
      <c r="CP71" s="6" t="s">
        <v>67</v>
      </c>
    </row>
    <row r="72" spans="1:94" x14ac:dyDescent="0.25">
      <c r="A72" s="1" t="str">
        <f>B7</f>
        <v>USA</v>
      </c>
      <c r="B72" s="1">
        <f>SUMPRODUCT((Quiniela!D41:D46=A72)*(Quiniela!E41:E46&lt;&gt;""))+SUMPRODUCT((Quiniela!G41:G46=A72)*(Quiniela!I41:I46&lt;&gt;""))</f>
        <v>0</v>
      </c>
      <c r="C72" s="1">
        <f>SUMPRODUCT(((Quiniela!D41:D46=A72)*(Quiniela!E41:E46&gt;Quiniela!I41:I46))+((Quiniela!G41:G46=A72)*(Quiniela!I41:I46&gt;Quiniela!E41:E46)))</f>
        <v>0</v>
      </c>
      <c r="D72" s="1">
        <f>SUMPRODUCT(((Quiniela!D41:D46=A72)*(Quiniela!E41:E46&lt;Quiniela!I41:I46))+((Quiniela!G41:G46=A72)*(Quiniela!I41:I46&lt;Quiniela!E41:E46)))</f>
        <v>0</v>
      </c>
      <c r="E72" s="1">
        <f>SUMPRODUCT(((Quiniela!D41:D46=A72)*(Quiniela!E41:E46=Quiniela!I41:I46)*(Quiniela!E41:E46&lt;&gt;""))+((Quiniela!G41:G46=A72)*(Quiniela!I41:I46=Quiniela!E41:E46)*(Quiniela!I41:I46&lt;&gt;"")))</f>
        <v>0</v>
      </c>
      <c r="F72" s="1">
        <f>C72*3+E72</f>
        <v>0</v>
      </c>
      <c r="G72" s="1">
        <f>SUMIF(Quiniela!$D$41:$D$46,A72,Quiniela!$E$41:$E$46)+SUMIF(Quiniela!$G$41:$G$46,A72,Quiniela!$I$41:$I$46)</f>
        <v>0</v>
      </c>
      <c r="H72" s="1">
        <f>SUMIF(Quiniela!$D$41:$D$46,A72,Quiniela!$I$41:$I$46)+SUMIF(Quiniela!$G$41:$G$46,A72,Quiniela!$E$41:$E$46)</f>
        <v>0</v>
      </c>
      <c r="I72" s="1">
        <f>G72-H72</f>
        <v>0</v>
      </c>
      <c r="J72" s="1">
        <f>F72+I72/100+G72/10000+0.0000004</f>
        <v>3.9999999999999998E-7</v>
      </c>
      <c r="K72" s="1">
        <f>RANK(J72,$J$72:$J$75,0)</f>
        <v>1</v>
      </c>
      <c r="M72">
        <v>52</v>
      </c>
      <c r="N72" t="s">
        <v>105</v>
      </c>
      <c r="O72" t="s">
        <v>138</v>
      </c>
      <c r="P72" t="s">
        <v>82</v>
      </c>
      <c r="Q72" t="s">
        <v>111</v>
      </c>
      <c r="R72" t="s">
        <v>125</v>
      </c>
      <c r="S72" t="s">
        <v>119</v>
      </c>
      <c r="T72" t="s">
        <v>160</v>
      </c>
      <c r="U72" t="s">
        <v>131</v>
      </c>
      <c r="V72" t="s">
        <v>227</v>
      </c>
      <c r="CN72" s="6">
        <v>69</v>
      </c>
      <c r="CO72" s="6" t="s">
        <v>922</v>
      </c>
      <c r="CP72" s="6" t="s">
        <v>67</v>
      </c>
    </row>
    <row r="73" spans="1:94" x14ac:dyDescent="0.25">
      <c r="A73" s="1" t="str">
        <f>C7</f>
        <v>PARAGUAY</v>
      </c>
      <c r="B73" s="1">
        <f>SUMPRODUCT((Quiniela!D41:D46=A73)*(Quiniela!E41:E46&lt;&gt;""))+SUMPRODUCT((Quiniela!G41:G46=A73)*(Quiniela!I41:I46&lt;&gt;""))</f>
        <v>0</v>
      </c>
      <c r="C73" s="1">
        <f>SUMPRODUCT(((Quiniela!D41:D46=A73)*(Quiniela!E41:E46&gt;Quiniela!I41:I46))+((Quiniela!G41:G46=A73)*(Quiniela!I41:I46&gt;Quiniela!E41:E46)))</f>
        <v>0</v>
      </c>
      <c r="D73" s="1">
        <f>SUMPRODUCT(((Quiniela!D41:D46=A73)*(Quiniela!E41:E46&lt;Quiniela!I41:I46))+((Quiniela!G41:G46=A73)*(Quiniela!I41:I46&lt;Quiniela!E41:E46)))</f>
        <v>0</v>
      </c>
      <c r="E73" s="1">
        <f>SUMPRODUCT(((Quiniela!D41:D46=A73)*(Quiniela!E41:E46=Quiniela!I41:I46)*(Quiniela!E41:E46&lt;&gt;""))+((Quiniela!G41:G46=A73)*(Quiniela!I41:I46=Quiniela!E41:E46)*(Quiniela!I41:I46&lt;&gt;"")))</f>
        <v>0</v>
      </c>
      <c r="F73" s="1">
        <f>C73*3+E73</f>
        <v>0</v>
      </c>
      <c r="G73" s="1">
        <f>SUMIF(Quiniela!$D$41:$D$46,A73,Quiniela!$E$41:$E$46)+SUMIF(Quiniela!$G$41:$G$46,A73,Quiniela!$I$41:$I$46)</f>
        <v>0</v>
      </c>
      <c r="H73" s="1">
        <f>SUMIF(Quiniela!$D$41:$D$46,A73,Quiniela!$I$41:$I$46)+SUMIF(Quiniela!$G$41:$G$46,A73,Quiniela!$E$41:$E$46)</f>
        <v>0</v>
      </c>
      <c r="I73" s="1">
        <f>G73-H73</f>
        <v>0</v>
      </c>
      <c r="J73" s="1">
        <f>F73+I73/100+G73/10000+0.0000003</f>
        <v>2.9999999999999999E-7</v>
      </c>
      <c r="K73" s="1">
        <f>RANK(J73,$J$72:$J$75,0)</f>
        <v>2</v>
      </c>
      <c r="M73">
        <v>53</v>
      </c>
      <c r="N73" t="s">
        <v>105</v>
      </c>
      <c r="O73" t="s">
        <v>138</v>
      </c>
      <c r="P73" t="s">
        <v>82</v>
      </c>
      <c r="Q73" t="s">
        <v>111</v>
      </c>
      <c r="R73" t="s">
        <v>125</v>
      </c>
      <c r="S73" t="s">
        <v>119</v>
      </c>
      <c r="T73" t="s">
        <v>131</v>
      </c>
      <c r="U73" t="s">
        <v>156</v>
      </c>
      <c r="V73" t="s">
        <v>228</v>
      </c>
      <c r="CN73" s="6">
        <v>70</v>
      </c>
      <c r="CO73" s="6" t="s">
        <v>921</v>
      </c>
      <c r="CP73" s="6" t="s">
        <v>67</v>
      </c>
    </row>
    <row r="74" spans="1:94" x14ac:dyDescent="0.25">
      <c r="A74" s="1" t="str">
        <f>D7</f>
        <v>AUSTRALIA</v>
      </c>
      <c r="B74" s="1">
        <f>SUMPRODUCT((Quiniela!D41:D46=A74)*(Quiniela!E41:E46&lt;&gt;""))+SUMPRODUCT((Quiniela!G41:G46=A74)*(Quiniela!I41:I46&lt;&gt;""))</f>
        <v>0</v>
      </c>
      <c r="C74" s="1">
        <f>SUMPRODUCT(((Quiniela!D41:D46=A74)*(Quiniela!E41:E46&gt;Quiniela!I41:I46))+((Quiniela!G41:G46=A74)*(Quiniela!I41:I46&gt;Quiniela!E41:E46)))</f>
        <v>0</v>
      </c>
      <c r="D74" s="1">
        <f>SUMPRODUCT(((Quiniela!D41:D46=A74)*(Quiniela!E41:E46&lt;Quiniela!I41:I46))+((Quiniela!G41:G46=A74)*(Quiniela!I41:I46&lt;Quiniela!E41:E46)))</f>
        <v>0</v>
      </c>
      <c r="E74" s="1">
        <f>SUMPRODUCT(((Quiniela!D41:D46=A74)*(Quiniela!E41:E46=Quiniela!I41:I46)*(Quiniela!E41:E46&lt;&gt;""))+((Quiniela!G41:G46=A74)*(Quiniela!I41:I46=Quiniela!E41:E46)*(Quiniela!I41:I46&lt;&gt;"")))</f>
        <v>0</v>
      </c>
      <c r="F74" s="1">
        <f>C74*3+E74</f>
        <v>0</v>
      </c>
      <c r="G74" s="1">
        <f>SUMIF(Quiniela!$D$41:$D$46,A74,Quiniela!$E$41:$E$46)+SUMIF(Quiniela!$G$41:$G$46,A74,Quiniela!$I$41:$I$46)</f>
        <v>0</v>
      </c>
      <c r="H74" s="1">
        <f>SUMIF(Quiniela!$D$41:$D$46,A74,Quiniela!$I$41:$I$46)+SUMIF(Quiniela!$G$41:$G$46,A74,Quiniela!$E$41:$E$46)</f>
        <v>0</v>
      </c>
      <c r="I74" s="1">
        <f>G74-H74</f>
        <v>0</v>
      </c>
      <c r="J74" s="1">
        <f>F74+I74/100+G74/10000+0.0000002</f>
        <v>1.9999999999999999E-7</v>
      </c>
      <c r="K74" s="1">
        <f>RANK(J74,$J$72:$J$75,0)</f>
        <v>3</v>
      </c>
      <c r="M74">
        <v>54</v>
      </c>
      <c r="N74" t="s">
        <v>125</v>
      </c>
      <c r="O74" t="s">
        <v>138</v>
      </c>
      <c r="P74" t="s">
        <v>82</v>
      </c>
      <c r="Q74" t="s">
        <v>96</v>
      </c>
      <c r="R74" t="s">
        <v>131</v>
      </c>
      <c r="S74" t="s">
        <v>119</v>
      </c>
      <c r="T74" t="s">
        <v>160</v>
      </c>
      <c r="U74" t="s">
        <v>156</v>
      </c>
      <c r="V74" t="s">
        <v>229</v>
      </c>
      <c r="CN74" s="6">
        <v>71</v>
      </c>
      <c r="CO74" s="6" t="s">
        <v>923</v>
      </c>
      <c r="CP74" s="6" t="s">
        <v>67</v>
      </c>
    </row>
    <row r="75" spans="1:94" x14ac:dyDescent="0.25">
      <c r="A75" s="1" t="str">
        <f>E7</f>
        <v>TURQUIA</v>
      </c>
      <c r="B75" s="1">
        <f>SUMPRODUCT((Quiniela!D41:D46=A75)*(Quiniela!E41:E46&lt;&gt;""))+SUMPRODUCT((Quiniela!G41:G46=A75)*(Quiniela!I41:I46&lt;&gt;""))</f>
        <v>0</v>
      </c>
      <c r="C75" s="1">
        <f>SUMPRODUCT(((Quiniela!D41:D46=A75)*(Quiniela!E41:E46&gt;Quiniela!I41:I46))+((Quiniela!G41:G46=A75)*(Quiniela!I41:I46&gt;Quiniela!E41:E46)))</f>
        <v>0</v>
      </c>
      <c r="D75" s="1">
        <f>SUMPRODUCT(((Quiniela!D41:D46=A75)*(Quiniela!E41:E46&lt;Quiniela!I41:I46))+((Quiniela!G41:G46=A75)*(Quiniela!I41:I46&lt;Quiniela!E41:E46)))</f>
        <v>0</v>
      </c>
      <c r="E75" s="1">
        <f>SUMPRODUCT(((Quiniela!D41:D46=A75)*(Quiniela!E41:E46=Quiniela!I41:I46)*(Quiniela!E41:E46&lt;&gt;""))+((Quiniela!G41:G46=A75)*(Quiniela!I41:I46=Quiniela!E41:E46)*(Quiniela!I41:I46&lt;&gt;"")))</f>
        <v>0</v>
      </c>
      <c r="F75" s="1">
        <f>C75*3+E75</f>
        <v>0</v>
      </c>
      <c r="G75" s="1">
        <f>SUMIF(Quiniela!$D$41:$D$46,A75,Quiniela!$E$41:$E$46)+SUMIF(Quiniela!$G$41:$G$46,A75,Quiniela!$I$41:$I$46)</f>
        <v>0</v>
      </c>
      <c r="H75" s="1">
        <f>SUMIF(Quiniela!$D$41:$D$46,A75,Quiniela!$I$41:$I$46)+SUMIF(Quiniela!$G$41:$G$46,A75,Quiniela!$E$41:$E$46)</f>
        <v>0</v>
      </c>
      <c r="I75" s="1">
        <f>G75-H75</f>
        <v>0</v>
      </c>
      <c r="J75" s="1">
        <f>F75+I75/100+G75/10000+0.0000001</f>
        <v>9.9999999999999995E-8</v>
      </c>
      <c r="K75" s="1">
        <f>RANK(J75,$J$72:$J$75,0)</f>
        <v>4</v>
      </c>
      <c r="M75">
        <v>55</v>
      </c>
      <c r="N75" t="s">
        <v>125</v>
      </c>
      <c r="O75" t="s">
        <v>138</v>
      </c>
      <c r="P75" t="s">
        <v>82</v>
      </c>
      <c r="Q75" t="s">
        <v>96</v>
      </c>
      <c r="R75" t="s">
        <v>131</v>
      </c>
      <c r="S75" t="s">
        <v>111</v>
      </c>
      <c r="T75" t="s">
        <v>160</v>
      </c>
      <c r="U75" t="s">
        <v>156</v>
      </c>
      <c r="V75" t="s">
        <v>230</v>
      </c>
      <c r="CN75" s="8">
        <v>72</v>
      </c>
      <c r="CO75" s="6" t="s">
        <v>924</v>
      </c>
      <c r="CP75" s="9" t="s">
        <v>67</v>
      </c>
    </row>
    <row r="76" spans="1:94" x14ac:dyDescent="0.25">
      <c r="A76" s="137" t="s">
        <v>231</v>
      </c>
      <c r="B76" s="138"/>
      <c r="C76" s="138"/>
      <c r="D76" s="138"/>
      <c r="E76" s="138"/>
      <c r="F76" s="138"/>
      <c r="G76" s="138"/>
      <c r="H76" s="138"/>
      <c r="I76" s="138"/>
      <c r="J76" s="138"/>
      <c r="K76" s="138"/>
      <c r="M76">
        <v>56</v>
      </c>
      <c r="N76" t="s">
        <v>131</v>
      </c>
      <c r="O76" t="s">
        <v>119</v>
      </c>
      <c r="P76" t="s">
        <v>82</v>
      </c>
      <c r="Q76" t="s">
        <v>96</v>
      </c>
      <c r="R76" t="s">
        <v>138</v>
      </c>
      <c r="S76" t="s">
        <v>111</v>
      </c>
      <c r="T76" t="s">
        <v>160</v>
      </c>
      <c r="U76" t="s">
        <v>156</v>
      </c>
      <c r="V76" t="s">
        <v>232</v>
      </c>
      <c r="CN76" s="6">
        <v>73</v>
      </c>
      <c r="CO76" s="6" t="s">
        <v>925</v>
      </c>
      <c r="CP76" s="6" t="s">
        <v>67</v>
      </c>
    </row>
    <row r="77" spans="1:94" x14ac:dyDescent="0.25">
      <c r="B77" s="2" t="s">
        <v>66</v>
      </c>
      <c r="C77" s="2" t="s">
        <v>169</v>
      </c>
      <c r="D77" s="2" t="s">
        <v>170</v>
      </c>
      <c r="E77" s="2" t="s">
        <v>171</v>
      </c>
      <c r="M77">
        <v>57</v>
      </c>
      <c r="N77" t="s">
        <v>125</v>
      </c>
      <c r="O77" t="s">
        <v>119</v>
      </c>
      <c r="P77" t="s">
        <v>82</v>
      </c>
      <c r="Q77" t="s">
        <v>96</v>
      </c>
      <c r="R77" t="s">
        <v>138</v>
      </c>
      <c r="S77" t="s">
        <v>111</v>
      </c>
      <c r="T77" t="s">
        <v>160</v>
      </c>
      <c r="U77" t="s">
        <v>156</v>
      </c>
      <c r="V77" t="s">
        <v>233</v>
      </c>
      <c r="CN77" s="6">
        <v>74</v>
      </c>
      <c r="CO77" s="6" t="s">
        <v>926</v>
      </c>
      <c r="CP77" s="6" t="s">
        <v>67</v>
      </c>
    </row>
    <row r="78" spans="1:94" x14ac:dyDescent="0.25">
      <c r="B78" s="1">
        <f>IF(Quiniela!E49="",0,IF(Quiniela!E49&gt;Quiniela!I49,Quiniela!D49,IF(Quiniela!I49&gt;Quiniela!E49,Quiniela!G49,"X")))</f>
        <v>0</v>
      </c>
      <c r="C78" s="1">
        <f>IF(Quiniela!E49="",0,IF(B78="X",0,IF(B78=Quiniela!D49,Quiniela!G49,Quiniela!D49)))</f>
        <v>0</v>
      </c>
      <c r="D78" s="1">
        <f>IF(B78="X",Quiniela!D49,0)</f>
        <v>0</v>
      </c>
      <c r="E78" s="1">
        <f>IF(B78="X",Quiniela!G49,0)</f>
        <v>0</v>
      </c>
      <c r="M78">
        <v>58</v>
      </c>
      <c r="N78" t="s">
        <v>125</v>
      </c>
      <c r="O78" t="s">
        <v>119</v>
      </c>
      <c r="P78" t="s">
        <v>82</v>
      </c>
      <c r="Q78" t="s">
        <v>96</v>
      </c>
      <c r="R78" t="s">
        <v>131</v>
      </c>
      <c r="S78" t="s">
        <v>111</v>
      </c>
      <c r="T78" t="s">
        <v>160</v>
      </c>
      <c r="U78" t="s">
        <v>156</v>
      </c>
      <c r="V78" t="s">
        <v>234</v>
      </c>
      <c r="CN78" s="6">
        <v>75</v>
      </c>
      <c r="CO78" s="6" t="s">
        <v>927</v>
      </c>
      <c r="CP78" s="6" t="s">
        <v>67</v>
      </c>
    </row>
    <row r="79" spans="1:94" x14ac:dyDescent="0.25">
      <c r="B79" s="1">
        <f>IF(Quiniela!E50="",0,IF(Quiniela!E50&gt;Quiniela!I50,Quiniela!D50,IF(Quiniela!I50&gt;Quiniela!E50,Quiniela!G50,"X")))</f>
        <v>0</v>
      </c>
      <c r="C79" s="1">
        <f>IF(Quiniela!E50="",0,IF(B79="X",0,IF(B79=Quiniela!D50,Quiniela!G50,Quiniela!D50)))</f>
        <v>0</v>
      </c>
      <c r="D79" s="1">
        <f>IF(B79="X",Quiniela!D50,0)</f>
        <v>0</v>
      </c>
      <c r="E79" s="1">
        <f>IF(B79="X",Quiniela!G50,0)</f>
        <v>0</v>
      </c>
      <c r="M79">
        <v>59</v>
      </c>
      <c r="N79" t="s">
        <v>125</v>
      </c>
      <c r="O79" t="s">
        <v>119</v>
      </c>
      <c r="P79" t="s">
        <v>82</v>
      </c>
      <c r="Q79" t="s">
        <v>96</v>
      </c>
      <c r="R79" t="s">
        <v>138</v>
      </c>
      <c r="S79" t="s">
        <v>111</v>
      </c>
      <c r="T79" t="s">
        <v>160</v>
      </c>
      <c r="U79" t="s">
        <v>131</v>
      </c>
      <c r="V79" t="s">
        <v>235</v>
      </c>
      <c r="CN79" s="6">
        <v>76</v>
      </c>
      <c r="CO79" s="6" t="s">
        <v>928</v>
      </c>
      <c r="CP79" s="6" t="s">
        <v>67</v>
      </c>
    </row>
    <row r="80" spans="1:94" x14ac:dyDescent="0.25">
      <c r="B80" s="1">
        <f>IF(Quiniela!E51="",0,IF(Quiniela!E51&gt;Quiniela!I51,Quiniela!D51,IF(Quiniela!I51&gt;Quiniela!E51,Quiniela!G51,"X")))</f>
        <v>0</v>
      </c>
      <c r="C80" s="1">
        <f>IF(Quiniela!E51="",0,IF(B80="X",0,IF(B80=Quiniela!D51,Quiniela!G51,Quiniela!D51)))</f>
        <v>0</v>
      </c>
      <c r="D80" s="1">
        <f>IF(B80="X",Quiniela!D51,0)</f>
        <v>0</v>
      </c>
      <c r="E80" s="1">
        <f>IF(B80="X",Quiniela!G51,0)</f>
        <v>0</v>
      </c>
      <c r="M80">
        <v>60</v>
      </c>
      <c r="N80" t="s">
        <v>125</v>
      </c>
      <c r="O80" t="s">
        <v>119</v>
      </c>
      <c r="P80" t="s">
        <v>82</v>
      </c>
      <c r="Q80" t="s">
        <v>96</v>
      </c>
      <c r="R80" t="s">
        <v>138</v>
      </c>
      <c r="S80" t="s">
        <v>111</v>
      </c>
      <c r="T80" t="s">
        <v>131</v>
      </c>
      <c r="U80" t="s">
        <v>156</v>
      </c>
      <c r="V80" t="s">
        <v>236</v>
      </c>
      <c r="CN80" s="7">
        <v>77</v>
      </c>
      <c r="CO80" s="7" t="s">
        <v>929</v>
      </c>
      <c r="CP80" s="7" t="s">
        <v>67</v>
      </c>
    </row>
    <row r="81" spans="1:94" x14ac:dyDescent="0.25">
      <c r="B81" s="1">
        <f>IF(Quiniela!E52="",0,IF(Quiniela!E52&gt;Quiniela!I52,Quiniela!D52,IF(Quiniela!I52&gt;Quiniela!E52,Quiniela!G52,"X")))</f>
        <v>0</v>
      </c>
      <c r="C81" s="1">
        <f>IF(Quiniela!E52="",0,IF(B81="X",0,IF(B81=Quiniela!D52,Quiniela!G52,Quiniela!D52)))</f>
        <v>0</v>
      </c>
      <c r="D81" s="1">
        <f>IF(B81="X",Quiniela!D52,0)</f>
        <v>0</v>
      </c>
      <c r="E81" s="1">
        <f>IF(B81="X",Quiniela!G52,0)</f>
        <v>0</v>
      </c>
      <c r="M81">
        <v>61</v>
      </c>
      <c r="N81" t="s">
        <v>105</v>
      </c>
      <c r="O81" t="s">
        <v>138</v>
      </c>
      <c r="P81" t="s">
        <v>82</v>
      </c>
      <c r="Q81" t="s">
        <v>96</v>
      </c>
      <c r="R81" t="s">
        <v>131</v>
      </c>
      <c r="S81" t="s">
        <v>125</v>
      </c>
      <c r="T81" t="s">
        <v>160</v>
      </c>
      <c r="U81" t="s">
        <v>156</v>
      </c>
      <c r="V81" t="s">
        <v>237</v>
      </c>
      <c r="CN81" s="6">
        <v>78</v>
      </c>
      <c r="CO81" s="6" t="s">
        <v>930</v>
      </c>
      <c r="CP81" s="6" t="s">
        <v>67</v>
      </c>
    </row>
    <row r="82" spans="1:94" x14ac:dyDescent="0.25">
      <c r="B82" s="1">
        <f>IF(Quiniela!E53="",0,IF(Quiniela!E53&gt;Quiniela!I53,Quiniela!D53,IF(Quiniela!I53&gt;Quiniela!E53,Quiniela!G53,"X")))</f>
        <v>0</v>
      </c>
      <c r="C82" s="1">
        <f>IF(Quiniela!E53="",0,IF(B82="X",0,IF(B82=Quiniela!D53,Quiniela!G53,Quiniela!D53)))</f>
        <v>0</v>
      </c>
      <c r="D82" s="1">
        <f>IF(B82="X",Quiniela!D53,0)</f>
        <v>0</v>
      </c>
      <c r="E82" s="1">
        <f>IF(B82="X",Quiniela!G53,0)</f>
        <v>0</v>
      </c>
      <c r="M82">
        <v>62</v>
      </c>
      <c r="N82" t="s">
        <v>105</v>
      </c>
      <c r="O82" t="s">
        <v>138</v>
      </c>
      <c r="P82" t="s">
        <v>82</v>
      </c>
      <c r="Q82" t="s">
        <v>96</v>
      </c>
      <c r="R82" t="s">
        <v>131</v>
      </c>
      <c r="S82" t="s">
        <v>119</v>
      </c>
      <c r="T82" t="s">
        <v>160</v>
      </c>
      <c r="U82" t="s">
        <v>156</v>
      </c>
      <c r="V82" t="s">
        <v>238</v>
      </c>
      <c r="CN82" s="6">
        <v>79</v>
      </c>
      <c r="CO82" s="6" t="s">
        <v>931</v>
      </c>
      <c r="CP82" s="6" t="s">
        <v>67</v>
      </c>
    </row>
    <row r="83" spans="1:94" x14ac:dyDescent="0.25">
      <c r="B83" s="1">
        <f>IF(Quiniela!E54="",0,IF(Quiniela!E54&gt;Quiniela!I54,Quiniela!D54,IF(Quiniela!I54&gt;Quiniela!E54,Quiniela!G54,"X")))</f>
        <v>0</v>
      </c>
      <c r="C83" s="1">
        <f>IF(Quiniela!E54="",0,IF(B83="X",0,IF(B83=Quiniela!D54,Quiniela!G54,Quiniela!D54)))</f>
        <v>0</v>
      </c>
      <c r="D83" s="1">
        <f>IF(B83="X",Quiniela!D54,0)</f>
        <v>0</v>
      </c>
      <c r="E83" s="1">
        <f>IF(B83="X",Quiniela!G54,0)</f>
        <v>0</v>
      </c>
      <c r="M83">
        <v>63</v>
      </c>
      <c r="N83" t="s">
        <v>105</v>
      </c>
      <c r="O83" t="s">
        <v>138</v>
      </c>
      <c r="P83" t="s">
        <v>82</v>
      </c>
      <c r="Q83" t="s">
        <v>96</v>
      </c>
      <c r="R83" t="s">
        <v>125</v>
      </c>
      <c r="S83" t="s">
        <v>119</v>
      </c>
      <c r="T83" t="s">
        <v>160</v>
      </c>
      <c r="U83" t="s">
        <v>156</v>
      </c>
      <c r="V83" t="s">
        <v>239</v>
      </c>
      <c r="CN83" s="6">
        <v>80</v>
      </c>
      <c r="CO83" s="6" t="s">
        <v>932</v>
      </c>
      <c r="CP83" s="6" t="s">
        <v>67</v>
      </c>
    </row>
    <row r="84" spans="1:94" x14ac:dyDescent="0.25">
      <c r="M84">
        <v>64</v>
      </c>
      <c r="N84" t="s">
        <v>105</v>
      </c>
      <c r="O84" t="s">
        <v>119</v>
      </c>
      <c r="P84" t="s">
        <v>82</v>
      </c>
      <c r="Q84" t="s">
        <v>96</v>
      </c>
      <c r="R84" t="s">
        <v>131</v>
      </c>
      <c r="S84" t="s">
        <v>125</v>
      </c>
      <c r="T84" t="s">
        <v>160</v>
      </c>
      <c r="U84" t="s">
        <v>156</v>
      </c>
      <c r="V84" t="s">
        <v>240</v>
      </c>
      <c r="CN84" s="6">
        <v>81</v>
      </c>
      <c r="CO84" s="6" t="s">
        <v>933</v>
      </c>
      <c r="CP84" s="6" t="s">
        <v>67</v>
      </c>
    </row>
    <row r="85" spans="1:94" x14ac:dyDescent="0.25">
      <c r="A85" s="3" t="s">
        <v>13</v>
      </c>
      <c r="B85" s="3" t="s">
        <v>14</v>
      </c>
      <c r="C85" s="3" t="s">
        <v>15</v>
      </c>
      <c r="D85" s="3" t="s">
        <v>16</v>
      </c>
      <c r="E85" s="3" t="s">
        <v>17</v>
      </c>
      <c r="F85" s="3" t="s">
        <v>18</v>
      </c>
      <c r="G85" s="3" t="s">
        <v>59</v>
      </c>
      <c r="H85" s="3" t="s">
        <v>180</v>
      </c>
      <c r="I85" s="3" t="s">
        <v>19</v>
      </c>
      <c r="J85" s="3" t="s">
        <v>60</v>
      </c>
      <c r="K85" s="3" t="s">
        <v>12</v>
      </c>
      <c r="M85">
        <v>65</v>
      </c>
      <c r="N85" t="s">
        <v>105</v>
      </c>
      <c r="O85" t="s">
        <v>138</v>
      </c>
      <c r="P85" t="s">
        <v>82</v>
      </c>
      <c r="Q85" t="s">
        <v>96</v>
      </c>
      <c r="R85" t="s">
        <v>125</v>
      </c>
      <c r="S85" t="s">
        <v>119</v>
      </c>
      <c r="T85" t="s">
        <v>160</v>
      </c>
      <c r="U85" t="s">
        <v>131</v>
      </c>
      <c r="V85" t="s">
        <v>241</v>
      </c>
      <c r="CN85" s="6">
        <v>82</v>
      </c>
      <c r="CO85" s="6" t="s">
        <v>934</v>
      </c>
      <c r="CP85" s="6" t="s">
        <v>67</v>
      </c>
    </row>
    <row r="86" spans="1:94" x14ac:dyDescent="0.25">
      <c r="A86" s="1" t="str">
        <f>B8</f>
        <v>ALEMANIA</v>
      </c>
      <c r="B86" s="1">
        <f>SUMPRODUCT((Quiniela!D49:D54=A86)*(Quiniela!E49:E54&lt;&gt;""))+SUMPRODUCT((Quiniela!G49:G54=A86)*(Quiniela!I49:I54&lt;&gt;""))</f>
        <v>0</v>
      </c>
      <c r="C86" s="1">
        <f>SUMPRODUCT(((Quiniela!D49:D54=A86)*(Quiniela!E49:E54&gt;Quiniela!I49:I54))+((Quiniela!G49:G54=A86)*(Quiniela!I49:I54&gt;Quiniela!E49:E54)))</f>
        <v>0</v>
      </c>
      <c r="D86" s="1">
        <f>SUMPRODUCT(((Quiniela!D49:D54=A86)*(Quiniela!E49:E54&lt;Quiniela!I49:I54))+((Quiniela!G49:G54=A86)*(Quiniela!I49:I54&lt;Quiniela!E49:E54)))</f>
        <v>0</v>
      </c>
      <c r="E86" s="1">
        <f>SUMPRODUCT(((Quiniela!D49:D54=A86)*(Quiniela!E49:E54=Quiniela!I49:I54)*(Quiniela!E49:E54&lt;&gt;""))+((Quiniela!G49:G54=A86)*(Quiniela!I49:I54=Quiniela!E49:E54)*(Quiniela!I49:I54&lt;&gt;"")))</f>
        <v>0</v>
      </c>
      <c r="F86" s="1">
        <f>C86*3+E86</f>
        <v>0</v>
      </c>
      <c r="G86" s="1">
        <f>SUMIF(Quiniela!$D$49:$D$54,A86,Quiniela!$E$49:$E$54)+SUMIF(Quiniela!$G$49:$G$54,A86,Quiniela!$I$49:$I$54)</f>
        <v>0</v>
      </c>
      <c r="H86" s="1">
        <f>SUMIF(Quiniela!$D$49:$D$54,A86,Quiniela!$I$49:$I$54)+SUMIF(Quiniela!$G$49:$G$54,A86,Quiniela!$E$49:$E$54)</f>
        <v>0</v>
      </c>
      <c r="I86" s="1">
        <f>G86-H86</f>
        <v>0</v>
      </c>
      <c r="J86" s="1">
        <f>F86+I86/100+G86/10000+0.0000004</f>
        <v>3.9999999999999998E-7</v>
      </c>
      <c r="K86" s="1">
        <f>RANK(J86,$J$86:$J$89,0)</f>
        <v>1</v>
      </c>
      <c r="M86">
        <v>66</v>
      </c>
      <c r="N86" t="s">
        <v>105</v>
      </c>
      <c r="O86" t="s">
        <v>138</v>
      </c>
      <c r="P86" t="s">
        <v>82</v>
      </c>
      <c r="Q86" t="s">
        <v>96</v>
      </c>
      <c r="R86" t="s">
        <v>125</v>
      </c>
      <c r="S86" t="s">
        <v>119</v>
      </c>
      <c r="T86" t="s">
        <v>131</v>
      </c>
      <c r="U86" t="s">
        <v>156</v>
      </c>
      <c r="V86" t="s">
        <v>242</v>
      </c>
      <c r="CN86" s="6">
        <v>83</v>
      </c>
      <c r="CO86" s="6" t="s">
        <v>935</v>
      </c>
      <c r="CP86" s="6" t="s">
        <v>67</v>
      </c>
    </row>
    <row r="87" spans="1:94" x14ac:dyDescent="0.25">
      <c r="A87" s="1" t="str">
        <f>C8</f>
        <v>CURAZAO</v>
      </c>
      <c r="B87" s="1">
        <f>SUMPRODUCT((Quiniela!D49:D54=A87)*(Quiniela!E49:E54&lt;&gt;""))+SUMPRODUCT((Quiniela!G49:G54=A87)*(Quiniela!I49:I54&lt;&gt;""))</f>
        <v>0</v>
      </c>
      <c r="C87" s="1">
        <f>SUMPRODUCT(((Quiniela!D49:D54=A87)*(Quiniela!E49:E54&gt;Quiniela!I49:I54))+((Quiniela!G49:G54=A87)*(Quiniela!I49:I54&gt;Quiniela!E49:E54)))</f>
        <v>0</v>
      </c>
      <c r="D87" s="1">
        <f>SUMPRODUCT(((Quiniela!D49:D54=A87)*(Quiniela!E49:E54&lt;Quiniela!I49:I54))+((Quiniela!G49:G54=A87)*(Quiniela!I49:I54&lt;Quiniela!E49:E54)))</f>
        <v>0</v>
      </c>
      <c r="E87" s="1">
        <f>SUMPRODUCT(((Quiniela!D49:D54=A87)*(Quiniela!E49:E54=Quiniela!I49:I54)*(Quiniela!E49:E54&lt;&gt;""))+((Quiniela!G49:G54=A87)*(Quiniela!I49:I54=Quiniela!E49:E54)*(Quiniela!I49:I54&lt;&gt;"")))</f>
        <v>0</v>
      </c>
      <c r="F87" s="1">
        <f>C87*3+E87</f>
        <v>0</v>
      </c>
      <c r="G87" s="1">
        <f>SUMIF(Quiniela!$D$49:$D$54,A87,Quiniela!$E$49:$E$54)+SUMIF(Quiniela!$G$49:$G$54,A87,Quiniela!$I$49:$I$54)</f>
        <v>0</v>
      </c>
      <c r="H87" s="1">
        <f>SUMIF(Quiniela!$D$49:$D$54,A87,Quiniela!$I$49:$I$54)+SUMIF(Quiniela!$G$49:$G$54,A87,Quiniela!$E$49:$E$54)</f>
        <v>0</v>
      </c>
      <c r="I87" s="1">
        <f>G87-H87</f>
        <v>0</v>
      </c>
      <c r="J87" s="1">
        <f>F87+I87/100+G87/10000+0.0000003</f>
        <v>2.9999999999999999E-7</v>
      </c>
      <c r="K87" s="1">
        <f>RANK(J87,$J$86:$J$89,0)</f>
        <v>2</v>
      </c>
      <c r="M87">
        <v>67</v>
      </c>
      <c r="N87" t="s">
        <v>105</v>
      </c>
      <c r="O87" t="s">
        <v>138</v>
      </c>
      <c r="P87" t="s">
        <v>82</v>
      </c>
      <c r="Q87" t="s">
        <v>96</v>
      </c>
      <c r="R87" t="s">
        <v>131</v>
      </c>
      <c r="S87" t="s">
        <v>111</v>
      </c>
      <c r="T87" t="s">
        <v>160</v>
      </c>
      <c r="U87" t="s">
        <v>156</v>
      </c>
      <c r="V87" t="s">
        <v>243</v>
      </c>
      <c r="CN87" s="6">
        <v>84</v>
      </c>
      <c r="CO87" s="6" t="s">
        <v>936</v>
      </c>
      <c r="CP87" s="6" t="s">
        <v>67</v>
      </c>
    </row>
    <row r="88" spans="1:94" x14ac:dyDescent="0.25">
      <c r="A88" s="1" t="str">
        <f>D8</f>
        <v>COSTA DE MARFIL</v>
      </c>
      <c r="B88" s="1">
        <f>SUMPRODUCT((Quiniela!D49:D54=A88)*(Quiniela!E49:E54&lt;&gt;""))+SUMPRODUCT((Quiniela!G49:G54=A88)*(Quiniela!I49:I54&lt;&gt;""))</f>
        <v>0</v>
      </c>
      <c r="C88" s="1">
        <f>SUMPRODUCT(((Quiniela!D49:D54=A88)*(Quiniela!E49:E54&gt;Quiniela!I49:I54))+((Quiniela!G49:G54=A88)*(Quiniela!I49:I54&gt;Quiniela!E49:E54)))</f>
        <v>0</v>
      </c>
      <c r="D88" s="1">
        <f>SUMPRODUCT(((Quiniela!D49:D54=A88)*(Quiniela!E49:E54&lt;Quiniela!I49:I54))+((Quiniela!G49:G54=A88)*(Quiniela!I49:I54&lt;Quiniela!E49:E54)))</f>
        <v>0</v>
      </c>
      <c r="E88" s="1">
        <f>SUMPRODUCT(((Quiniela!D49:D54=A88)*(Quiniela!E49:E54=Quiniela!I49:I54)*(Quiniela!E49:E54&lt;&gt;""))+((Quiniela!G49:G54=A88)*(Quiniela!I49:I54=Quiniela!E49:E54)*(Quiniela!I49:I54&lt;&gt;"")))</f>
        <v>0</v>
      </c>
      <c r="F88" s="1">
        <f>C88*3+E88</f>
        <v>0</v>
      </c>
      <c r="G88" s="1">
        <f>SUMIF(Quiniela!$D$49:$D$54,A88,Quiniela!$E$49:$E$54)+SUMIF(Quiniela!$G$49:$G$54,A88,Quiniela!$I$49:$I$54)</f>
        <v>0</v>
      </c>
      <c r="H88" s="1">
        <f>SUMIF(Quiniela!$D$49:$D$54,A88,Quiniela!$I$49:$I$54)+SUMIF(Quiniela!$G$49:$G$54,A88,Quiniela!$E$49:$E$54)</f>
        <v>0</v>
      </c>
      <c r="I88" s="1">
        <f>G88-H88</f>
        <v>0</v>
      </c>
      <c r="J88" s="1">
        <f>F88+I88/100+G88/10000+0.0000002</f>
        <v>1.9999999999999999E-7</v>
      </c>
      <c r="K88" s="1">
        <f>RANK(J88,$J$86:$J$89,0)</f>
        <v>3</v>
      </c>
      <c r="M88">
        <v>68</v>
      </c>
      <c r="N88" t="s">
        <v>105</v>
      </c>
      <c r="O88" t="s">
        <v>138</v>
      </c>
      <c r="P88" t="s">
        <v>82</v>
      </c>
      <c r="Q88" t="s">
        <v>96</v>
      </c>
      <c r="R88" t="s">
        <v>125</v>
      </c>
      <c r="S88" t="s">
        <v>111</v>
      </c>
      <c r="T88" t="s">
        <v>160</v>
      </c>
      <c r="U88" t="s">
        <v>156</v>
      </c>
      <c r="V88" t="s">
        <v>244</v>
      </c>
      <c r="CN88" s="6">
        <v>85</v>
      </c>
      <c r="CO88" s="6" t="s">
        <v>937</v>
      </c>
      <c r="CP88" s="6" t="s">
        <v>67</v>
      </c>
    </row>
    <row r="89" spans="1:94" x14ac:dyDescent="0.25">
      <c r="A89" s="1" t="str">
        <f>E8</f>
        <v>ECUADOR</v>
      </c>
      <c r="B89" s="1">
        <f>SUMPRODUCT((Quiniela!D49:D54=A89)*(Quiniela!E49:E54&lt;&gt;""))+SUMPRODUCT((Quiniela!G49:G54=A89)*(Quiniela!I49:I54&lt;&gt;""))</f>
        <v>0</v>
      </c>
      <c r="C89" s="1">
        <f>SUMPRODUCT(((Quiniela!D49:D54=A89)*(Quiniela!E49:E54&gt;Quiniela!I49:I54))+((Quiniela!G49:G54=A89)*(Quiniela!I49:I54&gt;Quiniela!E49:E54)))</f>
        <v>0</v>
      </c>
      <c r="D89" s="1">
        <f>SUMPRODUCT(((Quiniela!D49:D54=A89)*(Quiniela!E49:E54&lt;Quiniela!I49:I54))+((Quiniela!G49:G54=A89)*(Quiniela!I49:I54&lt;Quiniela!E49:E54)))</f>
        <v>0</v>
      </c>
      <c r="E89" s="1">
        <f>SUMPRODUCT(((Quiniela!D49:D54=A89)*(Quiniela!E49:E54=Quiniela!I49:I54)*(Quiniela!E49:E54&lt;&gt;""))+((Quiniela!G49:G54=A89)*(Quiniela!I49:I54=Quiniela!E49:E54)*(Quiniela!I49:I54&lt;&gt;"")))</f>
        <v>0</v>
      </c>
      <c r="F89" s="1">
        <f>C89*3+E89</f>
        <v>0</v>
      </c>
      <c r="G89" s="1">
        <f>SUMIF(Quiniela!$D$49:$D$54,A89,Quiniela!$E$49:$E$54)+SUMIF(Quiniela!$G$49:$G$54,A89,Quiniela!$I$49:$I$54)</f>
        <v>0</v>
      </c>
      <c r="H89" s="1">
        <f>SUMIF(Quiniela!$D$49:$D$54,A89,Quiniela!$I$49:$I$54)+SUMIF(Quiniela!$G$49:$G$54,A89,Quiniela!$E$49:$E$54)</f>
        <v>0</v>
      </c>
      <c r="I89" s="1">
        <f>G89-H89</f>
        <v>0</v>
      </c>
      <c r="J89" s="1">
        <f>F89+I89/100+G89/10000+0.0000001</f>
        <v>9.9999999999999995E-8</v>
      </c>
      <c r="K89" s="1">
        <f>RANK(J89,$J$86:$J$89,0)</f>
        <v>4</v>
      </c>
      <c r="M89">
        <v>69</v>
      </c>
      <c r="N89" t="s">
        <v>105</v>
      </c>
      <c r="O89" t="s">
        <v>131</v>
      </c>
      <c r="P89" t="s">
        <v>82</v>
      </c>
      <c r="Q89" t="s">
        <v>96</v>
      </c>
      <c r="R89" t="s">
        <v>125</v>
      </c>
      <c r="S89" t="s">
        <v>111</v>
      </c>
      <c r="T89" t="s">
        <v>160</v>
      </c>
      <c r="U89" t="s">
        <v>156</v>
      </c>
      <c r="V89" t="s">
        <v>245</v>
      </c>
      <c r="CN89" s="6">
        <v>86</v>
      </c>
      <c r="CO89" s="6" t="s">
        <v>938</v>
      </c>
      <c r="CP89" s="6" t="s">
        <v>67</v>
      </c>
    </row>
    <row r="90" spans="1:94" x14ac:dyDescent="0.25">
      <c r="A90" s="137" t="s">
        <v>246</v>
      </c>
      <c r="B90" s="138"/>
      <c r="C90" s="138"/>
      <c r="D90" s="138"/>
      <c r="E90" s="138"/>
      <c r="F90" s="138"/>
      <c r="G90" s="138"/>
      <c r="H90" s="138"/>
      <c r="I90" s="138"/>
      <c r="J90" s="138"/>
      <c r="K90" s="138"/>
      <c r="M90">
        <v>70</v>
      </c>
      <c r="N90" t="s">
        <v>105</v>
      </c>
      <c r="O90" t="s">
        <v>138</v>
      </c>
      <c r="P90" t="s">
        <v>82</v>
      </c>
      <c r="Q90" t="s">
        <v>96</v>
      </c>
      <c r="R90" t="s">
        <v>125</v>
      </c>
      <c r="S90" t="s">
        <v>111</v>
      </c>
      <c r="T90" t="s">
        <v>160</v>
      </c>
      <c r="U90" t="s">
        <v>131</v>
      </c>
      <c r="V90" t="s">
        <v>247</v>
      </c>
      <c r="CN90" s="6">
        <v>87</v>
      </c>
      <c r="CO90" s="6" t="s">
        <v>939</v>
      </c>
      <c r="CP90" s="6" t="s">
        <v>67</v>
      </c>
    </row>
    <row r="91" spans="1:94" x14ac:dyDescent="0.25">
      <c r="B91" s="2" t="s">
        <v>66</v>
      </c>
      <c r="C91" s="2" t="s">
        <v>169</v>
      </c>
      <c r="D91" s="2" t="s">
        <v>170</v>
      </c>
      <c r="E91" s="2" t="s">
        <v>171</v>
      </c>
      <c r="M91">
        <v>71</v>
      </c>
      <c r="N91" t="s">
        <v>105</v>
      </c>
      <c r="O91" t="s">
        <v>138</v>
      </c>
      <c r="P91" t="s">
        <v>82</v>
      </c>
      <c r="Q91" t="s">
        <v>96</v>
      </c>
      <c r="R91" t="s">
        <v>125</v>
      </c>
      <c r="S91" t="s">
        <v>111</v>
      </c>
      <c r="T91" t="s">
        <v>131</v>
      </c>
      <c r="U91" t="s">
        <v>156</v>
      </c>
      <c r="V91" t="s">
        <v>248</v>
      </c>
      <c r="CN91" s="7">
        <v>88</v>
      </c>
      <c r="CO91" s="7" t="s">
        <v>940</v>
      </c>
      <c r="CP91" s="7" t="s">
        <v>67</v>
      </c>
    </row>
    <row r="92" spans="1:94" x14ac:dyDescent="0.25">
      <c r="B92" s="1">
        <f>IF(Quiniela!E57="",0,IF(Quiniela!E57&gt;Quiniela!I57,Quiniela!D57,IF(Quiniela!I57&gt;Quiniela!E57,Quiniela!G57,"X")))</f>
        <v>0</v>
      </c>
      <c r="C92" s="1">
        <f>IF(Quiniela!E57="",0,IF(B92="X",0,IF(B92=Quiniela!D57,Quiniela!G57,Quiniela!D57)))</f>
        <v>0</v>
      </c>
      <c r="D92" s="1">
        <f>IF(B92="X",Quiniela!D57,0)</f>
        <v>0</v>
      </c>
      <c r="E92" s="1">
        <f>IF(B92="X",Quiniela!G57,0)</f>
        <v>0</v>
      </c>
      <c r="M92">
        <v>72</v>
      </c>
      <c r="N92" t="s">
        <v>105</v>
      </c>
      <c r="O92" t="s">
        <v>119</v>
      </c>
      <c r="P92" t="s">
        <v>82</v>
      </c>
      <c r="Q92" t="s">
        <v>96</v>
      </c>
      <c r="R92" t="s">
        <v>138</v>
      </c>
      <c r="S92" t="s">
        <v>111</v>
      </c>
      <c r="T92" t="s">
        <v>160</v>
      </c>
      <c r="U92" t="s">
        <v>156</v>
      </c>
      <c r="V92" t="s">
        <v>249</v>
      </c>
      <c r="CN92" s="6">
        <v>89</v>
      </c>
      <c r="CO92" s="6" t="s">
        <v>941</v>
      </c>
      <c r="CP92" s="6" t="s">
        <v>67</v>
      </c>
    </row>
    <row r="93" spans="1:94" x14ac:dyDescent="0.25">
      <c r="B93" s="1">
        <f>IF(Quiniela!E58="",0,IF(Quiniela!E58&gt;Quiniela!I58,Quiniela!D58,IF(Quiniela!I58&gt;Quiniela!E58,Quiniela!G58,"X")))</f>
        <v>0</v>
      </c>
      <c r="C93" s="1">
        <f>IF(Quiniela!E58="",0,IF(B93="X",0,IF(B93=Quiniela!D58,Quiniela!G58,Quiniela!D58)))</f>
        <v>0</v>
      </c>
      <c r="D93" s="1">
        <f>IF(B93="X",Quiniela!D58,0)</f>
        <v>0</v>
      </c>
      <c r="E93" s="1">
        <f>IF(B93="X",Quiniela!G58,0)</f>
        <v>0</v>
      </c>
      <c r="M93">
        <v>73</v>
      </c>
      <c r="N93" t="s">
        <v>105</v>
      </c>
      <c r="O93" t="s">
        <v>119</v>
      </c>
      <c r="P93" t="s">
        <v>82</v>
      </c>
      <c r="Q93" t="s">
        <v>96</v>
      </c>
      <c r="R93" t="s">
        <v>131</v>
      </c>
      <c r="S93" t="s">
        <v>111</v>
      </c>
      <c r="T93" t="s">
        <v>160</v>
      </c>
      <c r="U93" t="s">
        <v>156</v>
      </c>
      <c r="V93" t="s">
        <v>250</v>
      </c>
      <c r="CN93" s="6">
        <v>90</v>
      </c>
      <c r="CO93" s="6" t="s">
        <v>942</v>
      </c>
      <c r="CP93" s="6" t="s">
        <v>67</v>
      </c>
    </row>
    <row r="94" spans="1:94" x14ac:dyDescent="0.25">
      <c r="B94" s="1">
        <f>IF(Quiniela!E59="",0,IF(Quiniela!E59&gt;Quiniela!I59,Quiniela!D59,IF(Quiniela!I59&gt;Quiniela!E59,Quiniela!G59,"X")))</f>
        <v>0</v>
      </c>
      <c r="C94" s="1">
        <f>IF(Quiniela!E59="",0,IF(B94="X",0,IF(B94=Quiniela!D59,Quiniela!G59,Quiniela!D59)))</f>
        <v>0</v>
      </c>
      <c r="D94" s="1">
        <f>IF(B94="X",Quiniela!D59,0)</f>
        <v>0</v>
      </c>
      <c r="E94" s="1">
        <f>IF(B94="X",Quiniela!G59,0)</f>
        <v>0</v>
      </c>
      <c r="M94">
        <v>74</v>
      </c>
      <c r="N94" t="s">
        <v>105</v>
      </c>
      <c r="O94" t="s">
        <v>119</v>
      </c>
      <c r="P94" t="s">
        <v>82</v>
      </c>
      <c r="Q94" t="s">
        <v>96</v>
      </c>
      <c r="R94" t="s">
        <v>138</v>
      </c>
      <c r="S94" t="s">
        <v>111</v>
      </c>
      <c r="T94" t="s">
        <v>160</v>
      </c>
      <c r="U94" t="s">
        <v>131</v>
      </c>
      <c r="V94" t="s">
        <v>251</v>
      </c>
      <c r="CN94" s="6">
        <v>91</v>
      </c>
      <c r="CO94" s="6" t="s">
        <v>943</v>
      </c>
      <c r="CP94" s="6" t="s">
        <v>67</v>
      </c>
    </row>
    <row r="95" spans="1:94" x14ac:dyDescent="0.25">
      <c r="B95" s="1">
        <f>IF(Quiniela!E60="",0,IF(Quiniela!E60&gt;Quiniela!I60,Quiniela!D60,IF(Quiniela!I60&gt;Quiniela!E60,Quiniela!G60,"X")))</f>
        <v>0</v>
      </c>
      <c r="C95" s="1">
        <f>IF(Quiniela!E60="",0,IF(B95="X",0,IF(B95=Quiniela!D60,Quiniela!G60,Quiniela!D60)))</f>
        <v>0</v>
      </c>
      <c r="D95" s="1">
        <f>IF(B95="X",Quiniela!D60,0)</f>
        <v>0</v>
      </c>
      <c r="E95" s="1">
        <f>IF(B95="X",Quiniela!G60,0)</f>
        <v>0</v>
      </c>
      <c r="M95">
        <v>75</v>
      </c>
      <c r="N95" t="s">
        <v>105</v>
      </c>
      <c r="O95" t="s">
        <v>119</v>
      </c>
      <c r="P95" t="s">
        <v>82</v>
      </c>
      <c r="Q95" t="s">
        <v>96</v>
      </c>
      <c r="R95" t="s">
        <v>138</v>
      </c>
      <c r="S95" t="s">
        <v>111</v>
      </c>
      <c r="T95" t="s">
        <v>131</v>
      </c>
      <c r="U95" t="s">
        <v>156</v>
      </c>
      <c r="V95" t="s">
        <v>252</v>
      </c>
      <c r="CN95" s="6">
        <v>92</v>
      </c>
      <c r="CO95" s="6" t="s">
        <v>944</v>
      </c>
      <c r="CP95" s="6" t="s">
        <v>67</v>
      </c>
    </row>
    <row r="96" spans="1:94" x14ac:dyDescent="0.25">
      <c r="B96" s="1">
        <f>IF(Quiniela!E61="",0,IF(Quiniela!E61&gt;Quiniela!I61,Quiniela!D61,IF(Quiniela!I61&gt;Quiniela!E61,Quiniela!G61,"X")))</f>
        <v>0</v>
      </c>
      <c r="C96" s="1">
        <f>IF(Quiniela!E61="",0,IF(B96="X",0,IF(B96=Quiniela!D61,Quiniela!G61,Quiniela!D61)))</f>
        <v>0</v>
      </c>
      <c r="D96" s="1">
        <f>IF(B96="X",Quiniela!D61,0)</f>
        <v>0</v>
      </c>
      <c r="E96" s="1">
        <f>IF(B96="X",Quiniela!G61,0)</f>
        <v>0</v>
      </c>
      <c r="M96">
        <v>76</v>
      </c>
      <c r="N96" t="s">
        <v>105</v>
      </c>
      <c r="O96" t="s">
        <v>119</v>
      </c>
      <c r="P96" t="s">
        <v>82</v>
      </c>
      <c r="Q96" t="s">
        <v>96</v>
      </c>
      <c r="R96" t="s">
        <v>125</v>
      </c>
      <c r="S96" t="s">
        <v>111</v>
      </c>
      <c r="T96" t="s">
        <v>160</v>
      </c>
      <c r="U96" t="s">
        <v>156</v>
      </c>
      <c r="V96" t="s">
        <v>253</v>
      </c>
      <c r="CN96" s="6">
        <v>93</v>
      </c>
      <c r="CO96" s="6" t="s">
        <v>945</v>
      </c>
      <c r="CP96" s="6" t="s">
        <v>67</v>
      </c>
    </row>
    <row r="97" spans="1:94" x14ac:dyDescent="0.25">
      <c r="B97" s="1">
        <f>IF(Quiniela!E62="",0,IF(Quiniela!E62&gt;Quiniela!I62,Quiniela!D62,IF(Quiniela!I62&gt;Quiniela!E62,Quiniela!G62,"X")))</f>
        <v>0</v>
      </c>
      <c r="C97" s="1">
        <f>IF(Quiniela!E62="",0,IF(B97="X",0,IF(B97=Quiniela!D62,Quiniela!G62,Quiniela!D62)))</f>
        <v>0</v>
      </c>
      <c r="D97" s="1">
        <f>IF(B97="X",Quiniela!D62,0)</f>
        <v>0</v>
      </c>
      <c r="E97" s="1">
        <f>IF(B97="X",Quiniela!G62,0)</f>
        <v>0</v>
      </c>
      <c r="M97">
        <v>77</v>
      </c>
      <c r="N97" t="s">
        <v>125</v>
      </c>
      <c r="O97" t="s">
        <v>119</v>
      </c>
      <c r="P97" t="s">
        <v>82</v>
      </c>
      <c r="Q97" t="s">
        <v>96</v>
      </c>
      <c r="R97" t="s">
        <v>138</v>
      </c>
      <c r="S97" t="s">
        <v>111</v>
      </c>
      <c r="T97" t="s">
        <v>160</v>
      </c>
      <c r="U97" t="s">
        <v>105</v>
      </c>
      <c r="V97" t="s">
        <v>254</v>
      </c>
      <c r="CN97" s="6">
        <v>94</v>
      </c>
      <c r="CO97" s="6" t="s">
        <v>946</v>
      </c>
      <c r="CP97" s="6" t="s">
        <v>67</v>
      </c>
    </row>
    <row r="98" spans="1:94" x14ac:dyDescent="0.25">
      <c r="M98">
        <v>78</v>
      </c>
      <c r="N98" t="s">
        <v>125</v>
      </c>
      <c r="O98" t="s">
        <v>119</v>
      </c>
      <c r="P98" t="s">
        <v>82</v>
      </c>
      <c r="Q98" t="s">
        <v>96</v>
      </c>
      <c r="R98" t="s">
        <v>138</v>
      </c>
      <c r="S98" t="s">
        <v>111</v>
      </c>
      <c r="T98" t="s">
        <v>105</v>
      </c>
      <c r="U98" t="s">
        <v>156</v>
      </c>
      <c r="V98" t="s">
        <v>255</v>
      </c>
      <c r="CN98" s="6">
        <v>95</v>
      </c>
      <c r="CO98" s="6" t="s">
        <v>947</v>
      </c>
      <c r="CP98" s="6" t="s">
        <v>67</v>
      </c>
    </row>
    <row r="99" spans="1:94" x14ac:dyDescent="0.25">
      <c r="A99" s="3" t="s">
        <v>13</v>
      </c>
      <c r="B99" s="3" t="s">
        <v>14</v>
      </c>
      <c r="C99" s="3" t="s">
        <v>15</v>
      </c>
      <c r="D99" s="3" t="s">
        <v>16</v>
      </c>
      <c r="E99" s="3" t="s">
        <v>17</v>
      </c>
      <c r="F99" s="3" t="s">
        <v>18</v>
      </c>
      <c r="G99" s="3" t="s">
        <v>59</v>
      </c>
      <c r="H99" s="3" t="s">
        <v>180</v>
      </c>
      <c r="I99" s="3" t="s">
        <v>19</v>
      </c>
      <c r="J99" s="3" t="s">
        <v>60</v>
      </c>
      <c r="K99" s="3" t="s">
        <v>12</v>
      </c>
      <c r="M99">
        <v>79</v>
      </c>
      <c r="N99" t="s">
        <v>105</v>
      </c>
      <c r="O99" t="s">
        <v>119</v>
      </c>
      <c r="P99" t="s">
        <v>82</v>
      </c>
      <c r="Q99" t="s">
        <v>96</v>
      </c>
      <c r="R99" t="s">
        <v>125</v>
      </c>
      <c r="S99" t="s">
        <v>111</v>
      </c>
      <c r="T99" t="s">
        <v>160</v>
      </c>
      <c r="U99" t="s">
        <v>131</v>
      </c>
      <c r="V99" t="s">
        <v>256</v>
      </c>
      <c r="CN99" s="6">
        <v>96</v>
      </c>
      <c r="CO99" s="6" t="s">
        <v>948</v>
      </c>
      <c r="CP99" s="6" t="s">
        <v>67</v>
      </c>
    </row>
    <row r="100" spans="1:94" x14ac:dyDescent="0.25">
      <c r="A100" s="1" t="str">
        <f>B9</f>
        <v>PAISES BAJOS</v>
      </c>
      <c r="B100" s="1">
        <f>SUMPRODUCT((Quiniela!D57:D62=A100)*(Quiniela!E57:E62&lt;&gt;""))+SUMPRODUCT((Quiniela!G57:G62=A100)*(Quiniela!I57:I62&lt;&gt;""))</f>
        <v>0</v>
      </c>
      <c r="C100" s="1">
        <f>SUMPRODUCT(((Quiniela!D57:D62=A100)*(Quiniela!E57:E62&gt;Quiniela!I57:I62))+((Quiniela!G57:G62=A100)*(Quiniela!I57:I62&gt;Quiniela!E57:E62)))</f>
        <v>0</v>
      </c>
      <c r="D100" s="1">
        <f>SUMPRODUCT(((Quiniela!D57:D62=A100)*(Quiniela!E57:E62&lt;Quiniela!I57:I62))+((Quiniela!G57:G62=A100)*(Quiniela!I57:I62&lt;Quiniela!E57:E62)))</f>
        <v>0</v>
      </c>
      <c r="E100" s="1">
        <f>SUMPRODUCT(((Quiniela!D57:D62=A100)*(Quiniela!E57:E62=Quiniela!I57:I62)*(Quiniela!E57:E62&lt;&gt;""))+((Quiniela!G57:G62=A100)*(Quiniela!I57:I62=Quiniela!E57:E62)*(Quiniela!I57:I62&lt;&gt;"")))</f>
        <v>0</v>
      </c>
      <c r="F100" s="1">
        <f>C100*3+E100</f>
        <v>0</v>
      </c>
      <c r="G100" s="1">
        <f>SUMIF(Quiniela!$D$57:$D$62,A100,Quiniela!$E$57:$E$62)+SUMIF(Quiniela!$G$57:$G$62,A100,Quiniela!$I$57:$I$62)</f>
        <v>0</v>
      </c>
      <c r="H100" s="1">
        <f>SUMIF(Quiniela!$D$57:$D$62,A100,Quiniela!$I$57:$I$62)+SUMIF(Quiniela!$G$57:$G$62,A100,Quiniela!$E$57:$E$62)</f>
        <v>0</v>
      </c>
      <c r="I100" s="1">
        <f>G100-H100</f>
        <v>0</v>
      </c>
      <c r="J100" s="1">
        <f>F100+I100/100+G100/10000+0.0000004</f>
        <v>3.9999999999999998E-7</v>
      </c>
      <c r="K100" s="1">
        <f>RANK(J100,$J$100:$J$103,0)</f>
        <v>1</v>
      </c>
      <c r="M100">
        <v>80</v>
      </c>
      <c r="N100" t="s">
        <v>105</v>
      </c>
      <c r="O100" t="s">
        <v>119</v>
      </c>
      <c r="P100" t="s">
        <v>82</v>
      </c>
      <c r="Q100" t="s">
        <v>96</v>
      </c>
      <c r="R100" t="s">
        <v>125</v>
      </c>
      <c r="S100" t="s">
        <v>111</v>
      </c>
      <c r="T100" t="s">
        <v>131</v>
      </c>
      <c r="U100" t="s">
        <v>156</v>
      </c>
      <c r="V100" t="s">
        <v>257</v>
      </c>
      <c r="CN100" s="6">
        <v>97</v>
      </c>
      <c r="CO100" s="6" t="s">
        <v>949</v>
      </c>
      <c r="CP100" s="6" t="s">
        <v>67</v>
      </c>
    </row>
    <row r="101" spans="1:94" x14ac:dyDescent="0.25">
      <c r="A101" s="1" t="str">
        <f>C9</f>
        <v>JAPON</v>
      </c>
      <c r="B101" s="1">
        <f>SUMPRODUCT((Quiniela!D57:D62=A101)*(Quiniela!E57:E62&lt;&gt;""))+SUMPRODUCT((Quiniela!G57:G62=A101)*(Quiniela!I57:I62&lt;&gt;""))</f>
        <v>0</v>
      </c>
      <c r="C101" s="1">
        <f>SUMPRODUCT(((Quiniela!D57:D62=A101)*(Quiniela!E57:E62&gt;Quiniela!I57:I62))+((Quiniela!G57:G62=A101)*(Quiniela!I57:I62&gt;Quiniela!E57:E62)))</f>
        <v>0</v>
      </c>
      <c r="D101" s="1">
        <f>SUMPRODUCT(((Quiniela!D57:D62=A101)*(Quiniela!E57:E62&lt;Quiniela!I57:I62))+((Quiniela!G57:G62=A101)*(Quiniela!I57:I62&lt;Quiniela!E57:E62)))</f>
        <v>0</v>
      </c>
      <c r="E101" s="1">
        <f>SUMPRODUCT(((Quiniela!D57:D62=A101)*(Quiniela!E57:E62=Quiniela!I57:I62)*(Quiniela!E57:E62&lt;&gt;""))+((Quiniela!G57:G62=A101)*(Quiniela!I57:I62=Quiniela!E57:E62)*(Quiniela!I57:I62&lt;&gt;"")))</f>
        <v>0</v>
      </c>
      <c r="F101" s="1">
        <f>C101*3+E101</f>
        <v>0</v>
      </c>
      <c r="G101" s="1">
        <f>SUMIF(Quiniela!$D$57:$D$62,A101,Quiniela!$E$57:$E$62)+SUMIF(Quiniela!$G$57:$G$62,A101,Quiniela!$I$57:$I$62)</f>
        <v>0</v>
      </c>
      <c r="H101" s="1">
        <f>SUMIF(Quiniela!$D$57:$D$62,A101,Quiniela!$I$57:$I$62)+SUMIF(Quiniela!$G$57:$G$62,A101,Quiniela!$E$57:$E$62)</f>
        <v>0</v>
      </c>
      <c r="I101" s="1">
        <f>G101-H101</f>
        <v>0</v>
      </c>
      <c r="J101" s="1">
        <f>F101+I101/100+G101/10000+0.0000003</f>
        <v>2.9999999999999999E-7</v>
      </c>
      <c r="K101" s="1">
        <f>RANK(J101,$J$100:$J$103,0)</f>
        <v>2</v>
      </c>
      <c r="M101">
        <v>81</v>
      </c>
      <c r="N101" t="s">
        <v>125</v>
      </c>
      <c r="O101" t="s">
        <v>119</v>
      </c>
      <c r="P101" t="s">
        <v>82</v>
      </c>
      <c r="Q101" t="s">
        <v>96</v>
      </c>
      <c r="R101" t="s">
        <v>138</v>
      </c>
      <c r="S101" t="s">
        <v>111</v>
      </c>
      <c r="T101" t="s">
        <v>105</v>
      </c>
      <c r="U101" t="s">
        <v>131</v>
      </c>
      <c r="V101" t="s">
        <v>258</v>
      </c>
      <c r="CN101" s="6">
        <v>98</v>
      </c>
      <c r="CO101" s="6" t="s">
        <v>950</v>
      </c>
      <c r="CP101" s="6" t="s">
        <v>67</v>
      </c>
    </row>
    <row r="102" spans="1:94" x14ac:dyDescent="0.25">
      <c r="A102" s="1" t="str">
        <f>D9</f>
        <v>SUECIA</v>
      </c>
      <c r="B102" s="1">
        <f>SUMPRODUCT((Quiniela!D57:D62=A102)*(Quiniela!E57:E62&lt;&gt;""))+SUMPRODUCT((Quiniela!G57:G62=A102)*(Quiniela!I57:I62&lt;&gt;""))</f>
        <v>0</v>
      </c>
      <c r="C102" s="1">
        <f>SUMPRODUCT(((Quiniela!D57:D62=A102)*(Quiniela!E57:E62&gt;Quiniela!I57:I62))+((Quiniela!G57:G62=A102)*(Quiniela!I57:I62&gt;Quiniela!E57:E62)))</f>
        <v>0</v>
      </c>
      <c r="D102" s="1">
        <f>SUMPRODUCT(((Quiniela!D57:D62=A102)*(Quiniela!E57:E62&lt;Quiniela!I57:I62))+((Quiniela!G57:G62=A102)*(Quiniela!I57:I62&lt;Quiniela!E57:E62)))</f>
        <v>0</v>
      </c>
      <c r="E102" s="1">
        <f>SUMPRODUCT(((Quiniela!D57:D62=A102)*(Quiniela!E57:E62=Quiniela!I57:I62)*(Quiniela!E57:E62&lt;&gt;""))+((Quiniela!G57:G62=A102)*(Quiniela!I57:I62=Quiniela!E57:E62)*(Quiniela!I57:I62&lt;&gt;"")))</f>
        <v>0</v>
      </c>
      <c r="F102" s="1">
        <f>C102*3+E102</f>
        <v>0</v>
      </c>
      <c r="G102" s="1">
        <f>SUMIF(Quiniela!$D$57:$D$62,A102,Quiniela!$E$57:$E$62)+SUMIF(Quiniela!$G$57:$G$62,A102,Quiniela!$I$57:$I$62)</f>
        <v>0</v>
      </c>
      <c r="H102" s="1">
        <f>SUMIF(Quiniela!$D$57:$D$62,A102,Quiniela!$I$57:$I$62)+SUMIF(Quiniela!$G$57:$G$62,A102,Quiniela!$E$57:$E$62)</f>
        <v>0</v>
      </c>
      <c r="I102" s="1">
        <f>G102-H102</f>
        <v>0</v>
      </c>
      <c r="J102" s="1">
        <f>F102+I102/100+G102/10000+0.0000002</f>
        <v>1.9999999999999999E-7</v>
      </c>
      <c r="K102" s="1">
        <f>RANK(J102,$J$100:$J$103,0)</f>
        <v>3</v>
      </c>
      <c r="M102">
        <v>82</v>
      </c>
      <c r="N102" t="s">
        <v>125</v>
      </c>
      <c r="O102" t="s">
        <v>138</v>
      </c>
      <c r="P102" t="s">
        <v>82</v>
      </c>
      <c r="Q102" t="s">
        <v>89</v>
      </c>
      <c r="R102" t="s">
        <v>131</v>
      </c>
      <c r="S102" t="s">
        <v>119</v>
      </c>
      <c r="T102" t="s">
        <v>160</v>
      </c>
      <c r="U102" t="s">
        <v>156</v>
      </c>
      <c r="V102" t="s">
        <v>259</v>
      </c>
      <c r="CN102" s="6">
        <v>99</v>
      </c>
      <c r="CO102" s="6" t="s">
        <v>951</v>
      </c>
      <c r="CP102" s="6" t="s">
        <v>67</v>
      </c>
    </row>
    <row r="103" spans="1:94" x14ac:dyDescent="0.25">
      <c r="A103" s="1" t="str">
        <f>E9</f>
        <v>TUNEZ</v>
      </c>
      <c r="B103" s="1">
        <f>SUMPRODUCT((Quiniela!D57:D62=A103)*(Quiniela!E57:E62&lt;&gt;""))+SUMPRODUCT((Quiniela!G57:G62=A103)*(Quiniela!I57:I62&lt;&gt;""))</f>
        <v>0</v>
      </c>
      <c r="C103" s="1">
        <f>SUMPRODUCT(((Quiniela!D57:D62=A103)*(Quiniela!E57:E62&gt;Quiniela!I57:I62))+((Quiniela!G57:G62=A103)*(Quiniela!I57:I62&gt;Quiniela!E57:E62)))</f>
        <v>0</v>
      </c>
      <c r="D103" s="1">
        <f>SUMPRODUCT(((Quiniela!D57:D62=A103)*(Quiniela!E57:E62&lt;Quiniela!I57:I62))+((Quiniela!G57:G62=A103)*(Quiniela!I57:I62&lt;Quiniela!E57:E62)))</f>
        <v>0</v>
      </c>
      <c r="E103" s="1">
        <f>SUMPRODUCT(((Quiniela!D57:D62=A103)*(Quiniela!E57:E62=Quiniela!I57:I62)*(Quiniela!E57:E62&lt;&gt;""))+((Quiniela!G57:G62=A103)*(Quiniela!I57:I62=Quiniela!E57:E62)*(Quiniela!I57:I62&lt;&gt;"")))</f>
        <v>0</v>
      </c>
      <c r="F103" s="1">
        <f>C103*3+E103</f>
        <v>0</v>
      </c>
      <c r="G103" s="1">
        <f>SUMIF(Quiniela!$D$57:$D$62,A103,Quiniela!$E$57:$E$62)+SUMIF(Quiniela!$G$57:$G$62,A103,Quiniela!$I$57:$I$62)</f>
        <v>0</v>
      </c>
      <c r="H103" s="1">
        <f>SUMIF(Quiniela!$D$57:$D$62,A103,Quiniela!$I$57:$I$62)+SUMIF(Quiniela!$G$57:$G$62,A103,Quiniela!$E$57:$E$62)</f>
        <v>0</v>
      </c>
      <c r="I103" s="1">
        <f>G103-H103</f>
        <v>0</v>
      </c>
      <c r="J103" s="1">
        <f>F103+I103/100+G103/10000+0.0000001</f>
        <v>9.9999999999999995E-8</v>
      </c>
      <c r="K103" s="1">
        <f>RANK(J103,$J$100:$J$103,0)</f>
        <v>4</v>
      </c>
      <c r="M103">
        <v>83</v>
      </c>
      <c r="N103" t="s">
        <v>125</v>
      </c>
      <c r="O103" t="s">
        <v>138</v>
      </c>
      <c r="P103" t="s">
        <v>82</v>
      </c>
      <c r="Q103" t="s">
        <v>89</v>
      </c>
      <c r="R103" t="s">
        <v>131</v>
      </c>
      <c r="S103" t="s">
        <v>111</v>
      </c>
      <c r="T103" t="s">
        <v>160</v>
      </c>
      <c r="U103" t="s">
        <v>156</v>
      </c>
      <c r="V103" t="s">
        <v>260</v>
      </c>
      <c r="CN103" s="7">
        <v>100</v>
      </c>
      <c r="CO103" s="7" t="s">
        <v>952</v>
      </c>
      <c r="CP103" s="7" t="s">
        <v>67</v>
      </c>
    </row>
    <row r="104" spans="1:94" x14ac:dyDescent="0.25">
      <c r="A104" s="137" t="s">
        <v>261</v>
      </c>
      <c r="B104" s="138"/>
      <c r="C104" s="138"/>
      <c r="D104" s="138"/>
      <c r="E104" s="138"/>
      <c r="F104" s="138"/>
      <c r="G104" s="138"/>
      <c r="H104" s="138"/>
      <c r="I104" s="138"/>
      <c r="J104" s="138"/>
      <c r="K104" s="138"/>
      <c r="M104">
        <v>84</v>
      </c>
      <c r="N104" t="s">
        <v>131</v>
      </c>
      <c r="O104" t="s">
        <v>119</v>
      </c>
      <c r="P104" t="s">
        <v>82</v>
      </c>
      <c r="Q104" t="s">
        <v>89</v>
      </c>
      <c r="R104" t="s">
        <v>138</v>
      </c>
      <c r="S104" t="s">
        <v>111</v>
      </c>
      <c r="T104" t="s">
        <v>160</v>
      </c>
      <c r="U104" t="s">
        <v>156</v>
      </c>
      <c r="V104" t="s">
        <v>262</v>
      </c>
      <c r="CN104" s="6">
        <v>101</v>
      </c>
      <c r="CO104" s="6" t="s">
        <v>953</v>
      </c>
      <c r="CP104" s="6" t="s">
        <v>67</v>
      </c>
    </row>
    <row r="105" spans="1:94" x14ac:dyDescent="0.25">
      <c r="B105" s="2" t="s">
        <v>66</v>
      </c>
      <c r="C105" s="2" t="s">
        <v>169</v>
      </c>
      <c r="D105" s="2" t="s">
        <v>170</v>
      </c>
      <c r="E105" s="2" t="s">
        <v>171</v>
      </c>
      <c r="M105">
        <v>85</v>
      </c>
      <c r="N105" t="s">
        <v>125</v>
      </c>
      <c r="O105" t="s">
        <v>119</v>
      </c>
      <c r="P105" t="s">
        <v>82</v>
      </c>
      <c r="Q105" t="s">
        <v>89</v>
      </c>
      <c r="R105" t="s">
        <v>138</v>
      </c>
      <c r="S105" t="s">
        <v>111</v>
      </c>
      <c r="T105" t="s">
        <v>160</v>
      </c>
      <c r="U105" t="s">
        <v>156</v>
      </c>
      <c r="V105" t="s">
        <v>263</v>
      </c>
      <c r="CN105" s="6">
        <v>102</v>
      </c>
      <c r="CO105" s="6" t="s">
        <v>954</v>
      </c>
      <c r="CP105" s="6" t="s">
        <v>67</v>
      </c>
    </row>
    <row r="106" spans="1:94" x14ac:dyDescent="0.25">
      <c r="B106" s="1">
        <f>IF(Quiniela!E65="",0,IF(Quiniela!E65&gt;Quiniela!I65,Quiniela!D65,IF(Quiniela!I65&gt;Quiniela!E65,Quiniela!G65,"X")))</f>
        <v>0</v>
      </c>
      <c r="C106" s="1">
        <f>IF(Quiniela!E65="",0,IF(B106="X",0,IF(B106=Quiniela!D65,Quiniela!G65,Quiniela!D65)))</f>
        <v>0</v>
      </c>
      <c r="D106" s="1">
        <f>IF(B106="X",Quiniela!D65,0)</f>
        <v>0</v>
      </c>
      <c r="E106" s="1">
        <f>IF(B106="X",Quiniela!G65,0)</f>
        <v>0</v>
      </c>
      <c r="M106">
        <v>86</v>
      </c>
      <c r="N106" t="s">
        <v>125</v>
      </c>
      <c r="O106" t="s">
        <v>119</v>
      </c>
      <c r="P106" t="s">
        <v>82</v>
      </c>
      <c r="Q106" t="s">
        <v>89</v>
      </c>
      <c r="R106" t="s">
        <v>131</v>
      </c>
      <c r="S106" t="s">
        <v>111</v>
      </c>
      <c r="T106" t="s">
        <v>160</v>
      </c>
      <c r="U106" t="s">
        <v>156</v>
      </c>
      <c r="V106" t="s">
        <v>264</v>
      </c>
      <c r="CN106" s="6">
        <v>103</v>
      </c>
      <c r="CO106" s="6" t="s">
        <v>955</v>
      </c>
      <c r="CP106" s="6" t="s">
        <v>67</v>
      </c>
    </row>
    <row r="107" spans="1:94" x14ac:dyDescent="0.25">
      <c r="B107" s="1">
        <f>IF(Quiniela!E66="",0,IF(Quiniela!E66&gt;Quiniela!I66,Quiniela!D66,IF(Quiniela!I66&gt;Quiniela!E66,Quiniela!G66,"X")))</f>
        <v>0</v>
      </c>
      <c r="C107" s="1">
        <f>IF(Quiniela!E66="",0,IF(B107="X",0,IF(B107=Quiniela!D66,Quiniela!G66,Quiniela!D66)))</f>
        <v>0</v>
      </c>
      <c r="D107" s="1">
        <f>IF(B107="X",Quiniela!D66,0)</f>
        <v>0</v>
      </c>
      <c r="E107" s="1">
        <f>IF(B107="X",Quiniela!G66,0)</f>
        <v>0</v>
      </c>
      <c r="M107">
        <v>87</v>
      </c>
      <c r="N107" t="s">
        <v>125</v>
      </c>
      <c r="O107" t="s">
        <v>119</v>
      </c>
      <c r="P107" t="s">
        <v>82</v>
      </c>
      <c r="Q107" t="s">
        <v>89</v>
      </c>
      <c r="R107" t="s">
        <v>138</v>
      </c>
      <c r="S107" t="s">
        <v>111</v>
      </c>
      <c r="T107" t="s">
        <v>160</v>
      </c>
      <c r="U107" t="s">
        <v>131</v>
      </c>
      <c r="V107" t="s">
        <v>265</v>
      </c>
      <c r="CN107" s="6">
        <v>104</v>
      </c>
      <c r="CO107" s="6" t="s">
        <v>956</v>
      </c>
      <c r="CP107" s="6" t="s">
        <v>67</v>
      </c>
    </row>
    <row r="108" spans="1:94" x14ac:dyDescent="0.25">
      <c r="B108" s="1">
        <f>IF(Quiniela!E67="",0,IF(Quiniela!E67&gt;Quiniela!I67,Quiniela!D67,IF(Quiniela!I67&gt;Quiniela!E67,Quiniela!G67,"X")))</f>
        <v>0</v>
      </c>
      <c r="C108" s="1">
        <f>IF(Quiniela!E67="",0,IF(B108="X",0,IF(B108=Quiniela!D67,Quiniela!G67,Quiniela!D67)))</f>
        <v>0</v>
      </c>
      <c r="D108" s="1">
        <f>IF(B108="X",Quiniela!D67,0)</f>
        <v>0</v>
      </c>
      <c r="E108" s="1">
        <f>IF(B108="X",Quiniela!G67,0)</f>
        <v>0</v>
      </c>
      <c r="M108">
        <v>88</v>
      </c>
      <c r="N108" t="s">
        <v>125</v>
      </c>
      <c r="O108" t="s">
        <v>119</v>
      </c>
      <c r="P108" t="s">
        <v>82</v>
      </c>
      <c r="Q108" t="s">
        <v>89</v>
      </c>
      <c r="R108" t="s">
        <v>138</v>
      </c>
      <c r="S108" t="s">
        <v>111</v>
      </c>
      <c r="T108" t="s">
        <v>131</v>
      </c>
      <c r="U108" t="s">
        <v>156</v>
      </c>
      <c r="V108" t="s">
        <v>266</v>
      </c>
    </row>
    <row r="109" spans="1:94" x14ac:dyDescent="0.25">
      <c r="B109" s="1">
        <f>IF(Quiniela!E68="",0,IF(Quiniela!E68&gt;Quiniela!I68,Quiniela!D68,IF(Quiniela!I68&gt;Quiniela!E68,Quiniela!G68,"X")))</f>
        <v>0</v>
      </c>
      <c r="C109" s="1">
        <f>IF(Quiniela!E68="",0,IF(B109="X",0,IF(B109=Quiniela!D68,Quiniela!G68,Quiniela!D68)))</f>
        <v>0</v>
      </c>
      <c r="D109" s="1">
        <f>IF(B109="X",Quiniela!D68,0)</f>
        <v>0</v>
      </c>
      <c r="E109" s="1">
        <f>IF(B109="X",Quiniela!G68,0)</f>
        <v>0</v>
      </c>
      <c r="M109">
        <v>89</v>
      </c>
      <c r="N109" t="s">
        <v>105</v>
      </c>
      <c r="O109" t="s">
        <v>138</v>
      </c>
      <c r="P109" t="s">
        <v>82</v>
      </c>
      <c r="Q109" t="s">
        <v>89</v>
      </c>
      <c r="R109" t="s">
        <v>131</v>
      </c>
      <c r="S109" t="s">
        <v>125</v>
      </c>
      <c r="T109" t="s">
        <v>160</v>
      </c>
      <c r="U109" t="s">
        <v>156</v>
      </c>
      <c r="V109" t="s">
        <v>267</v>
      </c>
    </row>
    <row r="110" spans="1:94" x14ac:dyDescent="0.25">
      <c r="B110" s="1">
        <f>IF(Quiniela!E69="",0,IF(Quiniela!E69&gt;Quiniela!I69,Quiniela!D69,IF(Quiniela!I69&gt;Quiniela!E69,Quiniela!G69,"X")))</f>
        <v>0</v>
      </c>
      <c r="C110" s="1">
        <f>IF(Quiniela!E69="",0,IF(B110="X",0,IF(B110=Quiniela!D69,Quiniela!G69,Quiniela!D69)))</f>
        <v>0</v>
      </c>
      <c r="D110" s="1">
        <f>IF(B110="X",Quiniela!D69,0)</f>
        <v>0</v>
      </c>
      <c r="E110" s="1">
        <f>IF(B110="X",Quiniela!G69,0)</f>
        <v>0</v>
      </c>
      <c r="M110">
        <v>90</v>
      </c>
      <c r="N110" t="s">
        <v>105</v>
      </c>
      <c r="O110" t="s">
        <v>138</v>
      </c>
      <c r="P110" t="s">
        <v>82</v>
      </c>
      <c r="Q110" t="s">
        <v>89</v>
      </c>
      <c r="R110" t="s">
        <v>131</v>
      </c>
      <c r="S110" t="s">
        <v>119</v>
      </c>
      <c r="T110" t="s">
        <v>160</v>
      </c>
      <c r="U110" t="s">
        <v>156</v>
      </c>
      <c r="V110" t="s">
        <v>268</v>
      </c>
    </row>
    <row r="111" spans="1:94" x14ac:dyDescent="0.25">
      <c r="B111" s="1">
        <f>IF(Quiniela!E70="",0,IF(Quiniela!E70&gt;Quiniela!I70,Quiniela!D70,IF(Quiniela!I70&gt;Quiniela!E70,Quiniela!G70,"X")))</f>
        <v>0</v>
      </c>
      <c r="C111" s="1">
        <f>IF(Quiniela!E70="",0,IF(B111="X",0,IF(B111=Quiniela!D70,Quiniela!G70,Quiniela!D70)))</f>
        <v>0</v>
      </c>
      <c r="D111" s="1">
        <f>IF(B111="X",Quiniela!D70,0)</f>
        <v>0</v>
      </c>
      <c r="E111" s="1">
        <f>IF(B111="X",Quiniela!G70,0)</f>
        <v>0</v>
      </c>
      <c r="M111">
        <v>91</v>
      </c>
      <c r="N111" t="s">
        <v>105</v>
      </c>
      <c r="O111" t="s">
        <v>138</v>
      </c>
      <c r="P111" t="s">
        <v>82</v>
      </c>
      <c r="Q111" t="s">
        <v>89</v>
      </c>
      <c r="R111" t="s">
        <v>125</v>
      </c>
      <c r="S111" t="s">
        <v>119</v>
      </c>
      <c r="T111" t="s">
        <v>160</v>
      </c>
      <c r="U111" t="s">
        <v>156</v>
      </c>
      <c r="V111" t="s">
        <v>269</v>
      </c>
    </row>
    <row r="112" spans="1:94" x14ac:dyDescent="0.25">
      <c r="M112">
        <v>92</v>
      </c>
      <c r="N112" t="s">
        <v>105</v>
      </c>
      <c r="O112" t="s">
        <v>119</v>
      </c>
      <c r="P112" t="s">
        <v>82</v>
      </c>
      <c r="Q112" t="s">
        <v>89</v>
      </c>
      <c r="R112" t="s">
        <v>131</v>
      </c>
      <c r="S112" t="s">
        <v>125</v>
      </c>
      <c r="T112" t="s">
        <v>160</v>
      </c>
      <c r="U112" t="s">
        <v>156</v>
      </c>
      <c r="V112" t="s">
        <v>270</v>
      </c>
    </row>
    <row r="113" spans="1:22" x14ac:dyDescent="0.25">
      <c r="A113" s="3" t="s">
        <v>13</v>
      </c>
      <c r="B113" s="3" t="s">
        <v>14</v>
      </c>
      <c r="C113" s="3" t="s">
        <v>15</v>
      </c>
      <c r="D113" s="3" t="s">
        <v>16</v>
      </c>
      <c r="E113" s="3" t="s">
        <v>17</v>
      </c>
      <c r="F113" s="3" t="s">
        <v>18</v>
      </c>
      <c r="G113" s="3" t="s">
        <v>59</v>
      </c>
      <c r="H113" s="3" t="s">
        <v>180</v>
      </c>
      <c r="I113" s="3" t="s">
        <v>19</v>
      </c>
      <c r="J113" s="3" t="s">
        <v>60</v>
      </c>
      <c r="K113" s="3" t="s">
        <v>12</v>
      </c>
      <c r="M113">
        <v>93</v>
      </c>
      <c r="N113" t="s">
        <v>105</v>
      </c>
      <c r="O113" t="s">
        <v>138</v>
      </c>
      <c r="P113" t="s">
        <v>82</v>
      </c>
      <c r="Q113" t="s">
        <v>89</v>
      </c>
      <c r="R113" t="s">
        <v>125</v>
      </c>
      <c r="S113" t="s">
        <v>119</v>
      </c>
      <c r="T113" t="s">
        <v>160</v>
      </c>
      <c r="U113" t="s">
        <v>131</v>
      </c>
      <c r="V113" t="s">
        <v>271</v>
      </c>
    </row>
    <row r="114" spans="1:22" x14ac:dyDescent="0.25">
      <c r="A114" s="1" t="str">
        <f>B10</f>
        <v>BELGICA</v>
      </c>
      <c r="B114" s="1">
        <f>SUMPRODUCT((Quiniela!D65:D70=A114)*(Quiniela!E65:E70&lt;&gt;""))+SUMPRODUCT((Quiniela!G65:G70=A114)*(Quiniela!I65:I70&lt;&gt;""))</f>
        <v>0</v>
      </c>
      <c r="C114" s="1">
        <f>SUMPRODUCT(((Quiniela!D65:D70=A114)*(Quiniela!E65:E70&gt;Quiniela!I65:I70))+((Quiniela!G65:G70=A114)*(Quiniela!I65:I70&gt;Quiniela!E65:E70)))</f>
        <v>0</v>
      </c>
      <c r="D114" s="1">
        <f>SUMPRODUCT(((Quiniela!D65:D70=A114)*(Quiniela!E65:E70&lt;Quiniela!I65:I70))+((Quiniela!G65:G70=A114)*(Quiniela!I65:I70&lt;Quiniela!E65:E70)))</f>
        <v>0</v>
      </c>
      <c r="E114" s="1">
        <f>SUMPRODUCT(((Quiniela!D65:D70=A114)*(Quiniela!E65:E70=Quiniela!I65:I70)*(Quiniela!E65:E70&lt;&gt;""))+((Quiniela!G65:G70=A114)*(Quiniela!I65:I70=Quiniela!E65:E70)*(Quiniela!I65:I70&lt;&gt;"")))</f>
        <v>0</v>
      </c>
      <c r="F114" s="1">
        <f>C114*3+E114</f>
        <v>0</v>
      </c>
      <c r="G114" s="1">
        <f>SUMIF(Quiniela!$D$65:$D$70,A114,Quiniela!$E$65:$E$70)+SUMIF(Quiniela!$G$65:$G$70,A114,Quiniela!$I$65:$I$70)</f>
        <v>0</v>
      </c>
      <c r="H114" s="1">
        <f>SUMIF(Quiniela!$D$65:$D$70,A114,Quiniela!$I$65:$I$70)+SUMIF(Quiniela!$G$65:$G$70,A114,Quiniela!$E$65:$E$70)</f>
        <v>0</v>
      </c>
      <c r="I114" s="1">
        <f>G114-H114</f>
        <v>0</v>
      </c>
      <c r="J114" s="1">
        <f>F114+I114/100+G114/10000+0.0000004</f>
        <v>3.9999999999999998E-7</v>
      </c>
      <c r="K114" s="1">
        <f>RANK(J114,$J$114:$J$117,0)</f>
        <v>1</v>
      </c>
      <c r="M114">
        <v>94</v>
      </c>
      <c r="N114" t="s">
        <v>105</v>
      </c>
      <c r="O114" t="s">
        <v>138</v>
      </c>
      <c r="P114" t="s">
        <v>82</v>
      </c>
      <c r="Q114" t="s">
        <v>89</v>
      </c>
      <c r="R114" t="s">
        <v>125</v>
      </c>
      <c r="S114" t="s">
        <v>119</v>
      </c>
      <c r="T114" t="s">
        <v>131</v>
      </c>
      <c r="U114" t="s">
        <v>156</v>
      </c>
      <c r="V114" t="s">
        <v>272</v>
      </c>
    </row>
    <row r="115" spans="1:22" x14ac:dyDescent="0.25">
      <c r="A115" s="1" t="str">
        <f>C10</f>
        <v>EGIPTO</v>
      </c>
      <c r="B115" s="1">
        <f>SUMPRODUCT((Quiniela!D65:D70=A115)*(Quiniela!E65:E70&lt;&gt;""))+SUMPRODUCT((Quiniela!G65:G70=A115)*(Quiniela!I65:I70&lt;&gt;""))</f>
        <v>0</v>
      </c>
      <c r="C115" s="1">
        <f>SUMPRODUCT(((Quiniela!D65:D70=A115)*(Quiniela!E65:E70&gt;Quiniela!I65:I70))+((Quiniela!G65:G70=A115)*(Quiniela!I65:I70&gt;Quiniela!E65:E70)))</f>
        <v>0</v>
      </c>
      <c r="D115" s="1">
        <f>SUMPRODUCT(((Quiniela!D65:D70=A115)*(Quiniela!E65:E70&lt;Quiniela!I65:I70))+((Quiniela!G65:G70=A115)*(Quiniela!I65:I70&lt;Quiniela!E65:E70)))</f>
        <v>0</v>
      </c>
      <c r="E115" s="1">
        <f>SUMPRODUCT(((Quiniela!D65:D70=A115)*(Quiniela!E65:E70=Quiniela!I65:I70)*(Quiniela!E65:E70&lt;&gt;""))+((Quiniela!G65:G70=A115)*(Quiniela!I65:I70=Quiniela!E65:E70)*(Quiniela!I65:I70&lt;&gt;"")))</f>
        <v>0</v>
      </c>
      <c r="F115" s="1">
        <f>C115*3+E115</f>
        <v>0</v>
      </c>
      <c r="G115" s="1">
        <f>SUMIF(Quiniela!$D$65:$D$70,A115,Quiniela!$E$65:$E$70)+SUMIF(Quiniela!$G$65:$G$70,A115,Quiniela!$I$65:$I$70)</f>
        <v>0</v>
      </c>
      <c r="H115" s="1">
        <f>SUMIF(Quiniela!$D$65:$D$70,A115,Quiniela!$I$65:$I$70)+SUMIF(Quiniela!$G$65:$G$70,A115,Quiniela!$E$65:$E$70)</f>
        <v>0</v>
      </c>
      <c r="I115" s="1">
        <f>G115-H115</f>
        <v>0</v>
      </c>
      <c r="J115" s="1">
        <f>F115+I115/100+G115/10000+0.0000003</f>
        <v>2.9999999999999999E-7</v>
      </c>
      <c r="K115" s="1">
        <f>RANK(J115,$J$114:$J$117,0)</f>
        <v>2</v>
      </c>
      <c r="M115">
        <v>95</v>
      </c>
      <c r="N115" t="s">
        <v>105</v>
      </c>
      <c r="O115" t="s">
        <v>138</v>
      </c>
      <c r="P115" t="s">
        <v>82</v>
      </c>
      <c r="Q115" t="s">
        <v>89</v>
      </c>
      <c r="R115" t="s">
        <v>131</v>
      </c>
      <c r="S115" t="s">
        <v>111</v>
      </c>
      <c r="T115" t="s">
        <v>160</v>
      </c>
      <c r="U115" t="s">
        <v>156</v>
      </c>
      <c r="V115" t="s">
        <v>273</v>
      </c>
    </row>
    <row r="116" spans="1:22" x14ac:dyDescent="0.25">
      <c r="A116" s="1" t="str">
        <f>D10</f>
        <v>IRAN</v>
      </c>
      <c r="B116" s="1">
        <f>SUMPRODUCT((Quiniela!D65:D70=A116)*(Quiniela!E65:E70&lt;&gt;""))+SUMPRODUCT((Quiniela!G65:G70=A116)*(Quiniela!I65:I70&lt;&gt;""))</f>
        <v>0</v>
      </c>
      <c r="C116" s="1">
        <f>SUMPRODUCT(((Quiniela!D65:D70=A116)*(Quiniela!E65:E70&gt;Quiniela!I65:I70))+((Quiniela!G65:G70=A116)*(Quiniela!I65:I70&gt;Quiniela!E65:E70)))</f>
        <v>0</v>
      </c>
      <c r="D116" s="1">
        <f>SUMPRODUCT(((Quiniela!D65:D70=A116)*(Quiniela!E65:E70&lt;Quiniela!I65:I70))+((Quiniela!G65:G70=A116)*(Quiniela!I65:I70&lt;Quiniela!E65:E70)))</f>
        <v>0</v>
      </c>
      <c r="E116" s="1">
        <f>SUMPRODUCT(((Quiniela!D65:D70=A116)*(Quiniela!E65:E70=Quiniela!I65:I70)*(Quiniela!E65:E70&lt;&gt;""))+((Quiniela!G65:G70=A116)*(Quiniela!I65:I70=Quiniela!E65:E70)*(Quiniela!I65:I70&lt;&gt;"")))</f>
        <v>0</v>
      </c>
      <c r="F116" s="1">
        <f>C116*3+E116</f>
        <v>0</v>
      </c>
      <c r="G116" s="1">
        <f>SUMIF(Quiniela!$D$65:$D$70,A116,Quiniela!$E$65:$E$70)+SUMIF(Quiniela!$G$65:$G$70,A116,Quiniela!$I$65:$I$70)</f>
        <v>0</v>
      </c>
      <c r="H116" s="1">
        <f>SUMIF(Quiniela!$D$65:$D$70,A116,Quiniela!$I$65:$I$70)+SUMIF(Quiniela!$G$65:$G$70,A116,Quiniela!$E$65:$E$70)</f>
        <v>0</v>
      </c>
      <c r="I116" s="1">
        <f>G116-H116</f>
        <v>0</v>
      </c>
      <c r="J116" s="1">
        <f>F116+I116/100+G116/10000+0.0000002</f>
        <v>1.9999999999999999E-7</v>
      </c>
      <c r="K116" s="1">
        <f>RANK(J116,$J$114:$J$117,0)</f>
        <v>3</v>
      </c>
      <c r="M116">
        <v>96</v>
      </c>
      <c r="N116" t="s">
        <v>105</v>
      </c>
      <c r="O116" t="s">
        <v>138</v>
      </c>
      <c r="P116" t="s">
        <v>82</v>
      </c>
      <c r="Q116" t="s">
        <v>89</v>
      </c>
      <c r="R116" t="s">
        <v>125</v>
      </c>
      <c r="S116" t="s">
        <v>111</v>
      </c>
      <c r="T116" t="s">
        <v>160</v>
      </c>
      <c r="U116" t="s">
        <v>156</v>
      </c>
      <c r="V116" t="s">
        <v>274</v>
      </c>
    </row>
    <row r="117" spans="1:22" x14ac:dyDescent="0.25">
      <c r="A117" s="1" t="str">
        <f>E10</f>
        <v>NUEVA ZELANDA</v>
      </c>
      <c r="B117" s="1">
        <f>SUMPRODUCT((Quiniela!D65:D70=A117)*(Quiniela!E65:E70&lt;&gt;""))+SUMPRODUCT((Quiniela!G65:G70=A117)*(Quiniela!I65:I70&lt;&gt;""))</f>
        <v>0</v>
      </c>
      <c r="C117" s="1">
        <f>SUMPRODUCT(((Quiniela!D65:D70=A117)*(Quiniela!E65:E70&gt;Quiniela!I65:I70))+((Quiniela!G65:G70=A117)*(Quiniela!I65:I70&gt;Quiniela!E65:E70)))</f>
        <v>0</v>
      </c>
      <c r="D117" s="1">
        <f>SUMPRODUCT(((Quiniela!D65:D70=A117)*(Quiniela!E65:E70&lt;Quiniela!I65:I70))+((Quiniela!G65:G70=A117)*(Quiniela!I65:I70&lt;Quiniela!E65:E70)))</f>
        <v>0</v>
      </c>
      <c r="E117" s="1">
        <f>SUMPRODUCT(((Quiniela!D65:D70=A117)*(Quiniela!E65:E70=Quiniela!I65:I70)*(Quiniela!E65:E70&lt;&gt;""))+((Quiniela!G65:G70=A117)*(Quiniela!I65:I70=Quiniela!E65:E70)*(Quiniela!I65:I70&lt;&gt;"")))</f>
        <v>0</v>
      </c>
      <c r="F117" s="1">
        <f>C117*3+E117</f>
        <v>0</v>
      </c>
      <c r="G117" s="1">
        <f>SUMIF(Quiniela!$D$65:$D$70,A117,Quiniela!$E$65:$E$70)+SUMIF(Quiniela!$G$65:$G$70,A117,Quiniela!$I$65:$I$70)</f>
        <v>0</v>
      </c>
      <c r="H117" s="1">
        <f>SUMIF(Quiniela!$D$65:$D$70,A117,Quiniela!$I$65:$I$70)+SUMIF(Quiniela!$G$65:$G$70,A117,Quiniela!$E$65:$E$70)</f>
        <v>0</v>
      </c>
      <c r="I117" s="1">
        <f>G117-H117</f>
        <v>0</v>
      </c>
      <c r="J117" s="1">
        <f>F117+I117/100+G117/10000+0.0000001</f>
        <v>9.9999999999999995E-8</v>
      </c>
      <c r="K117" s="1">
        <f>RANK(J117,$J$114:$J$117,0)</f>
        <v>4</v>
      </c>
      <c r="M117">
        <v>97</v>
      </c>
      <c r="N117" t="s">
        <v>105</v>
      </c>
      <c r="O117" t="s">
        <v>131</v>
      </c>
      <c r="P117" t="s">
        <v>82</v>
      </c>
      <c r="Q117" t="s">
        <v>89</v>
      </c>
      <c r="R117" t="s">
        <v>125</v>
      </c>
      <c r="S117" t="s">
        <v>111</v>
      </c>
      <c r="T117" t="s">
        <v>160</v>
      </c>
      <c r="U117" t="s">
        <v>156</v>
      </c>
      <c r="V117" t="s">
        <v>275</v>
      </c>
    </row>
    <row r="118" spans="1:22" x14ac:dyDescent="0.25">
      <c r="A118" s="137" t="s">
        <v>276</v>
      </c>
      <c r="B118" s="138"/>
      <c r="C118" s="138"/>
      <c r="D118" s="138"/>
      <c r="E118" s="138"/>
      <c r="F118" s="138"/>
      <c r="G118" s="138"/>
      <c r="H118" s="138"/>
      <c r="I118" s="138"/>
      <c r="J118" s="138"/>
      <c r="K118" s="138"/>
      <c r="M118">
        <v>98</v>
      </c>
      <c r="N118" t="s">
        <v>105</v>
      </c>
      <c r="O118" t="s">
        <v>138</v>
      </c>
      <c r="P118" t="s">
        <v>82</v>
      </c>
      <c r="Q118" t="s">
        <v>89</v>
      </c>
      <c r="R118" t="s">
        <v>125</v>
      </c>
      <c r="S118" t="s">
        <v>111</v>
      </c>
      <c r="T118" t="s">
        <v>160</v>
      </c>
      <c r="U118" t="s">
        <v>131</v>
      </c>
      <c r="V118" t="s">
        <v>277</v>
      </c>
    </row>
    <row r="119" spans="1:22" x14ac:dyDescent="0.25">
      <c r="B119" s="2" t="s">
        <v>66</v>
      </c>
      <c r="C119" s="2" t="s">
        <v>169</v>
      </c>
      <c r="D119" s="2" t="s">
        <v>170</v>
      </c>
      <c r="E119" s="2" t="s">
        <v>171</v>
      </c>
      <c r="M119">
        <v>99</v>
      </c>
      <c r="N119" t="s">
        <v>105</v>
      </c>
      <c r="O119" t="s">
        <v>138</v>
      </c>
      <c r="P119" t="s">
        <v>82</v>
      </c>
      <c r="Q119" t="s">
        <v>89</v>
      </c>
      <c r="R119" t="s">
        <v>125</v>
      </c>
      <c r="S119" t="s">
        <v>111</v>
      </c>
      <c r="T119" t="s">
        <v>131</v>
      </c>
      <c r="U119" t="s">
        <v>156</v>
      </c>
      <c r="V119" t="s">
        <v>278</v>
      </c>
    </row>
    <row r="120" spans="1:22" x14ac:dyDescent="0.25">
      <c r="B120" s="1">
        <f>IF(Quiniela!E73="",0,IF(Quiniela!E73&gt;Quiniela!I73,Quiniela!D73,IF(Quiniela!I73&gt;Quiniela!E73,Quiniela!G73,"X")))</f>
        <v>0</v>
      </c>
      <c r="C120" s="1">
        <f>IF(Quiniela!E73="",0,IF(B120="X",0,IF(B120=Quiniela!D73,Quiniela!G73,Quiniela!D73)))</f>
        <v>0</v>
      </c>
      <c r="D120" s="1">
        <f>IF(B120="X",Quiniela!D73,0)</f>
        <v>0</v>
      </c>
      <c r="E120" s="1">
        <f>IF(B120="X",Quiniela!G73,0)</f>
        <v>0</v>
      </c>
      <c r="M120">
        <v>100</v>
      </c>
      <c r="N120" t="s">
        <v>105</v>
      </c>
      <c r="O120" t="s">
        <v>119</v>
      </c>
      <c r="P120" t="s">
        <v>82</v>
      </c>
      <c r="Q120" t="s">
        <v>89</v>
      </c>
      <c r="R120" t="s">
        <v>138</v>
      </c>
      <c r="S120" t="s">
        <v>111</v>
      </c>
      <c r="T120" t="s">
        <v>160</v>
      </c>
      <c r="U120" t="s">
        <v>156</v>
      </c>
      <c r="V120" t="s">
        <v>279</v>
      </c>
    </row>
    <row r="121" spans="1:22" x14ac:dyDescent="0.25">
      <c r="B121" s="1">
        <f>IF(Quiniela!E74="",0,IF(Quiniela!E74&gt;Quiniela!I74,Quiniela!D74,IF(Quiniela!I74&gt;Quiniela!E74,Quiniela!G74,"X")))</f>
        <v>0</v>
      </c>
      <c r="C121" s="1">
        <f>IF(Quiniela!E74="",0,IF(B121="X",0,IF(B121=Quiniela!D74,Quiniela!G74,Quiniela!D74)))</f>
        <v>0</v>
      </c>
      <c r="D121" s="1">
        <f>IF(B121="X",Quiniela!D74,0)</f>
        <v>0</v>
      </c>
      <c r="E121" s="1">
        <f>IF(B121="X",Quiniela!G74,0)</f>
        <v>0</v>
      </c>
      <c r="M121">
        <v>101</v>
      </c>
      <c r="N121" t="s">
        <v>105</v>
      </c>
      <c r="O121" t="s">
        <v>119</v>
      </c>
      <c r="P121" t="s">
        <v>82</v>
      </c>
      <c r="Q121" t="s">
        <v>89</v>
      </c>
      <c r="R121" t="s">
        <v>131</v>
      </c>
      <c r="S121" t="s">
        <v>111</v>
      </c>
      <c r="T121" t="s">
        <v>160</v>
      </c>
      <c r="U121" t="s">
        <v>156</v>
      </c>
      <c r="V121" t="s">
        <v>280</v>
      </c>
    </row>
    <row r="122" spans="1:22" x14ac:dyDescent="0.25">
      <c r="B122" s="1">
        <f>IF(Quiniela!E75="",0,IF(Quiniela!E75&gt;Quiniela!I75,Quiniela!D75,IF(Quiniela!I75&gt;Quiniela!E75,Quiniela!G75,"X")))</f>
        <v>0</v>
      </c>
      <c r="C122" s="1">
        <f>IF(Quiniela!E75="",0,IF(B122="X",0,IF(B122=Quiniela!D75,Quiniela!G75,Quiniela!D75)))</f>
        <v>0</v>
      </c>
      <c r="D122" s="1">
        <f>IF(B122="X",Quiniela!D75,0)</f>
        <v>0</v>
      </c>
      <c r="E122" s="1">
        <f>IF(B122="X",Quiniela!G75,0)</f>
        <v>0</v>
      </c>
      <c r="M122">
        <v>102</v>
      </c>
      <c r="N122" t="s">
        <v>105</v>
      </c>
      <c r="O122" t="s">
        <v>119</v>
      </c>
      <c r="P122" t="s">
        <v>82</v>
      </c>
      <c r="Q122" t="s">
        <v>89</v>
      </c>
      <c r="R122" t="s">
        <v>138</v>
      </c>
      <c r="S122" t="s">
        <v>111</v>
      </c>
      <c r="T122" t="s">
        <v>160</v>
      </c>
      <c r="U122" t="s">
        <v>131</v>
      </c>
      <c r="V122" t="s">
        <v>281</v>
      </c>
    </row>
    <row r="123" spans="1:22" x14ac:dyDescent="0.25">
      <c r="B123" s="1">
        <f>IF(Quiniela!E76="",0,IF(Quiniela!E76&gt;Quiniela!I76,Quiniela!D76,IF(Quiniela!I76&gt;Quiniela!E76,Quiniela!G76,"X")))</f>
        <v>0</v>
      </c>
      <c r="C123" s="1">
        <f>IF(Quiniela!E76="",0,IF(B123="X",0,IF(B123=Quiniela!D76,Quiniela!G76,Quiniela!D76)))</f>
        <v>0</v>
      </c>
      <c r="D123" s="1">
        <f>IF(B123="X",Quiniela!D76,0)</f>
        <v>0</v>
      </c>
      <c r="E123" s="1">
        <f>IF(B123="X",Quiniela!G76,0)</f>
        <v>0</v>
      </c>
      <c r="M123">
        <v>103</v>
      </c>
      <c r="N123" t="s">
        <v>105</v>
      </c>
      <c r="O123" t="s">
        <v>119</v>
      </c>
      <c r="P123" t="s">
        <v>82</v>
      </c>
      <c r="Q123" t="s">
        <v>89</v>
      </c>
      <c r="R123" t="s">
        <v>138</v>
      </c>
      <c r="S123" t="s">
        <v>111</v>
      </c>
      <c r="T123" t="s">
        <v>131</v>
      </c>
      <c r="U123" t="s">
        <v>156</v>
      </c>
      <c r="V123" t="s">
        <v>282</v>
      </c>
    </row>
    <row r="124" spans="1:22" x14ac:dyDescent="0.25">
      <c r="B124" s="1">
        <f>IF(Quiniela!E77="",0,IF(Quiniela!E77&gt;Quiniela!I77,Quiniela!D77,IF(Quiniela!I77&gt;Quiniela!E77,Quiniela!G77,"X")))</f>
        <v>0</v>
      </c>
      <c r="C124" s="1">
        <f>IF(Quiniela!E77="",0,IF(B124="X",0,IF(B124=Quiniela!D77,Quiniela!G77,Quiniela!D77)))</f>
        <v>0</v>
      </c>
      <c r="D124" s="1">
        <f>IF(B124="X",Quiniela!D77,0)</f>
        <v>0</v>
      </c>
      <c r="E124" s="1">
        <f>IF(B124="X",Quiniela!G77,0)</f>
        <v>0</v>
      </c>
      <c r="M124">
        <v>104</v>
      </c>
      <c r="N124" t="s">
        <v>105</v>
      </c>
      <c r="O124" t="s">
        <v>119</v>
      </c>
      <c r="P124" t="s">
        <v>82</v>
      </c>
      <c r="Q124" t="s">
        <v>89</v>
      </c>
      <c r="R124" t="s">
        <v>125</v>
      </c>
      <c r="S124" t="s">
        <v>111</v>
      </c>
      <c r="T124" t="s">
        <v>160</v>
      </c>
      <c r="U124" t="s">
        <v>156</v>
      </c>
      <c r="V124" t="s">
        <v>283</v>
      </c>
    </row>
    <row r="125" spans="1:22" x14ac:dyDescent="0.25">
      <c r="B125" s="1">
        <f>IF(Quiniela!E78="",0,IF(Quiniela!E78&gt;Quiniela!I78,Quiniela!D78,IF(Quiniela!I78&gt;Quiniela!E78,Quiniela!G78,"X")))</f>
        <v>0</v>
      </c>
      <c r="C125" s="1">
        <f>IF(Quiniela!E78="",0,IF(B125="X",0,IF(B125=Quiniela!D78,Quiniela!G78,Quiniela!D78)))</f>
        <v>0</v>
      </c>
      <c r="D125" s="1">
        <f>IF(B125="X",Quiniela!D78,0)</f>
        <v>0</v>
      </c>
      <c r="E125" s="1">
        <f>IF(B125="X",Quiniela!G78,0)</f>
        <v>0</v>
      </c>
      <c r="M125">
        <v>105</v>
      </c>
      <c r="N125" t="s">
        <v>125</v>
      </c>
      <c r="O125" t="s">
        <v>119</v>
      </c>
      <c r="P125" t="s">
        <v>82</v>
      </c>
      <c r="Q125" t="s">
        <v>89</v>
      </c>
      <c r="R125" t="s">
        <v>138</v>
      </c>
      <c r="S125" t="s">
        <v>111</v>
      </c>
      <c r="T125" t="s">
        <v>160</v>
      </c>
      <c r="U125" t="s">
        <v>105</v>
      </c>
      <c r="V125" t="s">
        <v>284</v>
      </c>
    </row>
    <row r="126" spans="1:22" x14ac:dyDescent="0.25">
      <c r="M126">
        <v>106</v>
      </c>
      <c r="N126" t="s">
        <v>125</v>
      </c>
      <c r="O126" t="s">
        <v>119</v>
      </c>
      <c r="P126" t="s">
        <v>82</v>
      </c>
      <c r="Q126" t="s">
        <v>89</v>
      </c>
      <c r="R126" t="s">
        <v>138</v>
      </c>
      <c r="S126" t="s">
        <v>111</v>
      </c>
      <c r="T126" t="s">
        <v>105</v>
      </c>
      <c r="U126" t="s">
        <v>156</v>
      </c>
      <c r="V126" t="s">
        <v>285</v>
      </c>
    </row>
    <row r="127" spans="1:22" x14ac:dyDescent="0.25">
      <c r="A127" s="3" t="s">
        <v>13</v>
      </c>
      <c r="B127" s="3" t="s">
        <v>14</v>
      </c>
      <c r="C127" s="3" t="s">
        <v>15</v>
      </c>
      <c r="D127" s="3" t="s">
        <v>16</v>
      </c>
      <c r="E127" s="3" t="s">
        <v>17</v>
      </c>
      <c r="F127" s="3" t="s">
        <v>18</v>
      </c>
      <c r="G127" s="3" t="s">
        <v>59</v>
      </c>
      <c r="H127" s="3" t="s">
        <v>180</v>
      </c>
      <c r="I127" s="3" t="s">
        <v>19</v>
      </c>
      <c r="J127" s="3" t="s">
        <v>60</v>
      </c>
      <c r="K127" s="3" t="s">
        <v>12</v>
      </c>
      <c r="M127">
        <v>107</v>
      </c>
      <c r="N127" t="s">
        <v>105</v>
      </c>
      <c r="O127" t="s">
        <v>119</v>
      </c>
      <c r="P127" t="s">
        <v>82</v>
      </c>
      <c r="Q127" t="s">
        <v>89</v>
      </c>
      <c r="R127" t="s">
        <v>125</v>
      </c>
      <c r="S127" t="s">
        <v>111</v>
      </c>
      <c r="T127" t="s">
        <v>160</v>
      </c>
      <c r="U127" t="s">
        <v>131</v>
      </c>
      <c r="V127" t="s">
        <v>286</v>
      </c>
    </row>
    <row r="128" spans="1:22" x14ac:dyDescent="0.25">
      <c r="A128" s="1" t="str">
        <f>B11</f>
        <v>ESPAÑA</v>
      </c>
      <c r="B128" s="1">
        <f>SUMPRODUCT((Quiniela!D73:D78=A128)*(Quiniela!E73:E78&lt;&gt;""))+SUMPRODUCT((Quiniela!G73:G78=A128)*(Quiniela!I73:I78&lt;&gt;""))</f>
        <v>0</v>
      </c>
      <c r="C128" s="1">
        <f>SUMPRODUCT(((Quiniela!D73:D78=A128)*(Quiniela!E73:E78&gt;Quiniela!I73:I78))+((Quiniela!G73:G78=A128)*(Quiniela!I73:I78&gt;Quiniela!E73:E78)))</f>
        <v>0</v>
      </c>
      <c r="D128" s="1">
        <f>SUMPRODUCT(((Quiniela!D73:D78=A128)*(Quiniela!E73:E78&lt;Quiniela!I73:I78))+((Quiniela!G73:G78=A128)*(Quiniela!I73:I78&lt;Quiniela!E73:E78)))</f>
        <v>0</v>
      </c>
      <c r="E128" s="1">
        <f>SUMPRODUCT(((Quiniela!D73:D78=A128)*(Quiniela!E73:E78=Quiniela!I73:I78)*(Quiniela!E73:E78&lt;&gt;""))+((Quiniela!G73:G78=A128)*(Quiniela!I73:I78=Quiniela!E73:E78)*(Quiniela!I73:I78&lt;&gt;"")))</f>
        <v>0</v>
      </c>
      <c r="F128" s="1">
        <f>C128*3+E128</f>
        <v>0</v>
      </c>
      <c r="G128" s="1">
        <f>SUMIF(Quiniela!$D$73:$D$78,A128,Quiniela!$E$73:$E$78)+SUMIF(Quiniela!$G$73:$G$78,A128,Quiniela!$I$73:$I$78)</f>
        <v>0</v>
      </c>
      <c r="H128" s="1">
        <f>SUMIF(Quiniela!$D$73:$D$78,A128,Quiniela!$I$73:$I$78)+SUMIF(Quiniela!$G$73:$G$78,A128,Quiniela!$E$73:$E$78)</f>
        <v>0</v>
      </c>
      <c r="I128" s="1">
        <f>G128-H128</f>
        <v>0</v>
      </c>
      <c r="J128" s="1">
        <f>F128+I128/100+G128/10000+0.0000004</f>
        <v>3.9999999999999998E-7</v>
      </c>
      <c r="K128" s="1">
        <f>RANK(J128,$J$128:$J$131,0)</f>
        <v>1</v>
      </c>
      <c r="M128">
        <v>108</v>
      </c>
      <c r="N128" t="s">
        <v>105</v>
      </c>
      <c r="O128" t="s">
        <v>119</v>
      </c>
      <c r="P128" t="s">
        <v>82</v>
      </c>
      <c r="Q128" t="s">
        <v>89</v>
      </c>
      <c r="R128" t="s">
        <v>125</v>
      </c>
      <c r="S128" t="s">
        <v>111</v>
      </c>
      <c r="T128" t="s">
        <v>131</v>
      </c>
      <c r="U128" t="s">
        <v>156</v>
      </c>
      <c r="V128" t="s">
        <v>287</v>
      </c>
    </row>
    <row r="129" spans="1:22" x14ac:dyDescent="0.25">
      <c r="A129" s="1" t="str">
        <f>C11</f>
        <v>CABO VERDE</v>
      </c>
      <c r="B129" s="1">
        <f>SUMPRODUCT((Quiniela!D73:D78=A129)*(Quiniela!E73:E78&lt;&gt;""))+SUMPRODUCT((Quiniela!G73:G78=A129)*(Quiniela!I73:I78&lt;&gt;""))</f>
        <v>0</v>
      </c>
      <c r="C129" s="1">
        <f>SUMPRODUCT(((Quiniela!D73:D78=A129)*(Quiniela!E73:E78&gt;Quiniela!I73:I78))+((Quiniela!G73:G78=A129)*(Quiniela!I73:I78&gt;Quiniela!E73:E78)))</f>
        <v>0</v>
      </c>
      <c r="D129" s="1">
        <f>SUMPRODUCT(((Quiniela!D73:D78=A129)*(Quiniela!E73:E78&lt;Quiniela!I73:I78))+((Quiniela!G73:G78=A129)*(Quiniela!I73:I78&lt;Quiniela!E73:E78)))</f>
        <v>0</v>
      </c>
      <c r="E129" s="1">
        <f>SUMPRODUCT(((Quiniela!D73:D78=A129)*(Quiniela!E73:E78=Quiniela!I73:I78)*(Quiniela!E73:E78&lt;&gt;""))+((Quiniela!G73:G78=A129)*(Quiniela!I73:I78=Quiniela!E73:E78)*(Quiniela!I73:I78&lt;&gt;"")))</f>
        <v>0</v>
      </c>
      <c r="F129" s="1">
        <f>C129*3+E129</f>
        <v>0</v>
      </c>
      <c r="G129" s="1">
        <f>SUMIF(Quiniela!$D$73:$D$78,A129,Quiniela!$E$73:$E$78)+SUMIF(Quiniela!$G$73:$G$78,A129,Quiniela!$I$73:$I$78)</f>
        <v>0</v>
      </c>
      <c r="H129" s="1">
        <f>SUMIF(Quiniela!$D$73:$D$78,A129,Quiniela!$I$73:$I$78)+SUMIF(Quiniela!$G$73:$G$78,A129,Quiniela!$E$73:$E$78)</f>
        <v>0</v>
      </c>
      <c r="I129" s="1">
        <f>G129-H129</f>
        <v>0</v>
      </c>
      <c r="J129" s="1">
        <f>F129+I129/100+G129/10000+0.0000003</f>
        <v>2.9999999999999999E-7</v>
      </c>
      <c r="K129" s="1">
        <f>RANK(J129,$J$128:$J$131,0)</f>
        <v>2</v>
      </c>
      <c r="M129">
        <v>109</v>
      </c>
      <c r="N129" t="s">
        <v>125</v>
      </c>
      <c r="O129" t="s">
        <v>119</v>
      </c>
      <c r="P129" t="s">
        <v>82</v>
      </c>
      <c r="Q129" t="s">
        <v>89</v>
      </c>
      <c r="R129" t="s">
        <v>138</v>
      </c>
      <c r="S129" t="s">
        <v>111</v>
      </c>
      <c r="T129" t="s">
        <v>105</v>
      </c>
      <c r="U129" t="s">
        <v>131</v>
      </c>
      <c r="V129" t="s">
        <v>288</v>
      </c>
    </row>
    <row r="130" spans="1:22" x14ac:dyDescent="0.25">
      <c r="A130" s="1" t="str">
        <f>D11</f>
        <v>ARABIA SAUDITA</v>
      </c>
      <c r="B130" s="1">
        <f>SUMPRODUCT((Quiniela!D73:D78=A130)*(Quiniela!E73:E78&lt;&gt;""))+SUMPRODUCT((Quiniela!G73:G78=A130)*(Quiniela!I73:I78&lt;&gt;""))</f>
        <v>0</v>
      </c>
      <c r="C130" s="1">
        <f>SUMPRODUCT(((Quiniela!D73:D78=A130)*(Quiniela!E73:E78&gt;Quiniela!I73:I78))+((Quiniela!G73:G78=A130)*(Quiniela!I73:I78&gt;Quiniela!E73:E78)))</f>
        <v>0</v>
      </c>
      <c r="D130" s="1">
        <f>SUMPRODUCT(((Quiniela!D73:D78=A130)*(Quiniela!E73:E78&lt;Quiniela!I73:I78))+((Quiniela!G73:G78=A130)*(Quiniela!I73:I78&lt;Quiniela!E73:E78)))</f>
        <v>0</v>
      </c>
      <c r="E130" s="1">
        <f>SUMPRODUCT(((Quiniela!D73:D78=A130)*(Quiniela!E73:E78=Quiniela!I73:I78)*(Quiniela!E73:E78&lt;&gt;""))+((Quiniela!G73:G78=A130)*(Quiniela!I73:I78=Quiniela!E73:E78)*(Quiniela!I73:I78&lt;&gt;"")))</f>
        <v>0</v>
      </c>
      <c r="F130" s="1">
        <f>C130*3+E130</f>
        <v>0</v>
      </c>
      <c r="G130" s="1">
        <f>SUMIF(Quiniela!$D$73:$D$78,A130,Quiniela!$E$73:$E$78)+SUMIF(Quiniela!$G$73:$G$78,A130,Quiniela!$I$73:$I$78)</f>
        <v>0</v>
      </c>
      <c r="H130" s="1">
        <f>SUMIF(Quiniela!$D$73:$D$78,A130,Quiniela!$I$73:$I$78)+SUMIF(Quiniela!$G$73:$G$78,A130,Quiniela!$E$73:$E$78)</f>
        <v>0</v>
      </c>
      <c r="I130" s="1">
        <f>G130-H130</f>
        <v>0</v>
      </c>
      <c r="J130" s="1">
        <f>F130+I130/100+G130/10000+0.0000002</f>
        <v>1.9999999999999999E-7</v>
      </c>
      <c r="K130" s="1">
        <f>RANK(J130,$J$128:$J$131,0)</f>
        <v>3</v>
      </c>
      <c r="M130">
        <v>110</v>
      </c>
      <c r="N130" t="s">
        <v>125</v>
      </c>
      <c r="O130" t="s">
        <v>138</v>
      </c>
      <c r="P130" t="s">
        <v>82</v>
      </c>
      <c r="Q130" t="s">
        <v>89</v>
      </c>
      <c r="R130" t="s">
        <v>131</v>
      </c>
      <c r="S130" t="s">
        <v>96</v>
      </c>
      <c r="T130" t="s">
        <v>160</v>
      </c>
      <c r="U130" t="s">
        <v>156</v>
      </c>
      <c r="V130" t="s">
        <v>289</v>
      </c>
    </row>
    <row r="131" spans="1:22" x14ac:dyDescent="0.25">
      <c r="A131" s="1" t="str">
        <f>E11</f>
        <v>URUGUAY</v>
      </c>
      <c r="B131" s="1">
        <f>SUMPRODUCT((Quiniela!D73:D78=A131)*(Quiniela!E73:E78&lt;&gt;""))+SUMPRODUCT((Quiniela!G73:G78=A131)*(Quiniela!I73:I78&lt;&gt;""))</f>
        <v>0</v>
      </c>
      <c r="C131" s="1">
        <f>SUMPRODUCT(((Quiniela!D73:D78=A131)*(Quiniela!E73:E78&gt;Quiniela!I73:I78))+((Quiniela!G73:G78=A131)*(Quiniela!I73:I78&gt;Quiniela!E73:E78)))</f>
        <v>0</v>
      </c>
      <c r="D131" s="1">
        <f>SUMPRODUCT(((Quiniela!D73:D78=A131)*(Quiniela!E73:E78&lt;Quiniela!I73:I78))+((Quiniela!G73:G78=A131)*(Quiniela!I73:I78&lt;Quiniela!E73:E78)))</f>
        <v>0</v>
      </c>
      <c r="E131" s="1">
        <f>SUMPRODUCT(((Quiniela!D73:D78=A131)*(Quiniela!E73:E78=Quiniela!I73:I78)*(Quiniela!E73:E78&lt;&gt;""))+((Quiniela!G73:G78=A131)*(Quiniela!I73:I78=Quiniela!E73:E78)*(Quiniela!I73:I78&lt;&gt;"")))</f>
        <v>0</v>
      </c>
      <c r="F131" s="1">
        <f>C131*3+E131</f>
        <v>0</v>
      </c>
      <c r="G131" s="1">
        <f>SUMIF(Quiniela!$D$73:$D$78,A131,Quiniela!$E$73:$E$78)+SUMIF(Quiniela!$G$73:$G$78,A131,Quiniela!$I$73:$I$78)</f>
        <v>0</v>
      </c>
      <c r="H131" s="1">
        <f>SUMIF(Quiniela!$D$73:$D$78,A131,Quiniela!$I$73:$I$78)+SUMIF(Quiniela!$G$73:$G$78,A131,Quiniela!$E$73:$E$78)</f>
        <v>0</v>
      </c>
      <c r="I131" s="1">
        <f>G131-H131</f>
        <v>0</v>
      </c>
      <c r="J131" s="1">
        <f>F131+I131/100+G131/10000+0.0000001</f>
        <v>9.9999999999999995E-8</v>
      </c>
      <c r="K131" s="1">
        <f>RANK(J131,$J$128:$J$131,0)</f>
        <v>4</v>
      </c>
      <c r="M131">
        <v>111</v>
      </c>
      <c r="N131" t="s">
        <v>131</v>
      </c>
      <c r="O131" t="s">
        <v>119</v>
      </c>
      <c r="P131" t="s">
        <v>82</v>
      </c>
      <c r="Q131" t="s">
        <v>89</v>
      </c>
      <c r="R131" t="s">
        <v>138</v>
      </c>
      <c r="S131" t="s">
        <v>96</v>
      </c>
      <c r="T131" t="s">
        <v>160</v>
      </c>
      <c r="U131" t="s">
        <v>156</v>
      </c>
      <c r="V131" t="s">
        <v>290</v>
      </c>
    </row>
    <row r="132" spans="1:22" x14ac:dyDescent="0.25">
      <c r="A132" s="137" t="s">
        <v>291</v>
      </c>
      <c r="B132" s="138"/>
      <c r="C132" s="138"/>
      <c r="D132" s="138"/>
      <c r="E132" s="138"/>
      <c r="F132" s="138"/>
      <c r="G132" s="138"/>
      <c r="H132" s="138"/>
      <c r="I132" s="138"/>
      <c r="J132" s="138"/>
      <c r="K132" s="138"/>
      <c r="M132">
        <v>112</v>
      </c>
      <c r="N132" t="s">
        <v>125</v>
      </c>
      <c r="O132" t="s">
        <v>119</v>
      </c>
      <c r="P132" t="s">
        <v>82</v>
      </c>
      <c r="Q132" t="s">
        <v>89</v>
      </c>
      <c r="R132" t="s">
        <v>138</v>
      </c>
      <c r="S132" t="s">
        <v>96</v>
      </c>
      <c r="T132" t="s">
        <v>160</v>
      </c>
      <c r="U132" t="s">
        <v>156</v>
      </c>
      <c r="V132" t="s">
        <v>292</v>
      </c>
    </row>
    <row r="133" spans="1:22" x14ac:dyDescent="0.25">
      <c r="B133" s="2" t="s">
        <v>66</v>
      </c>
      <c r="C133" s="2" t="s">
        <v>169</v>
      </c>
      <c r="D133" s="2" t="s">
        <v>170</v>
      </c>
      <c r="E133" s="2" t="s">
        <v>171</v>
      </c>
      <c r="M133">
        <v>113</v>
      </c>
      <c r="N133" t="s">
        <v>125</v>
      </c>
      <c r="O133" t="s">
        <v>119</v>
      </c>
      <c r="P133" t="s">
        <v>82</v>
      </c>
      <c r="Q133" t="s">
        <v>89</v>
      </c>
      <c r="R133" t="s">
        <v>131</v>
      </c>
      <c r="S133" t="s">
        <v>96</v>
      </c>
      <c r="T133" t="s">
        <v>160</v>
      </c>
      <c r="U133" t="s">
        <v>156</v>
      </c>
      <c r="V133" t="s">
        <v>293</v>
      </c>
    </row>
    <row r="134" spans="1:22" x14ac:dyDescent="0.25">
      <c r="B134" s="1">
        <f>IF(Quiniela!E81="",0,IF(Quiniela!E81&gt;Quiniela!I81,Quiniela!D81,IF(Quiniela!I81&gt;Quiniela!E81,Quiniela!G81,"X")))</f>
        <v>0</v>
      </c>
      <c r="C134" s="1">
        <f>IF(Quiniela!E81="",0,IF(B134="X",0,IF(B134=Quiniela!D81,Quiniela!G81,Quiniela!D81)))</f>
        <v>0</v>
      </c>
      <c r="D134" s="1">
        <f>IF(B134="X",Quiniela!D81,0)</f>
        <v>0</v>
      </c>
      <c r="E134" s="1">
        <f>IF(B134="X",Quiniela!G81,0)</f>
        <v>0</v>
      </c>
      <c r="M134">
        <v>114</v>
      </c>
      <c r="N134" t="s">
        <v>125</v>
      </c>
      <c r="O134" t="s">
        <v>119</v>
      </c>
      <c r="P134" t="s">
        <v>82</v>
      </c>
      <c r="Q134" t="s">
        <v>89</v>
      </c>
      <c r="R134" t="s">
        <v>138</v>
      </c>
      <c r="S134" t="s">
        <v>96</v>
      </c>
      <c r="T134" t="s">
        <v>160</v>
      </c>
      <c r="U134" t="s">
        <v>131</v>
      </c>
      <c r="V134" t="s">
        <v>294</v>
      </c>
    </row>
    <row r="135" spans="1:22" x14ac:dyDescent="0.25">
      <c r="B135" s="1">
        <f>IF(Quiniela!E82="",0,IF(Quiniela!E82&gt;Quiniela!I82,Quiniela!D82,IF(Quiniela!I82&gt;Quiniela!E82,Quiniela!G82,"X")))</f>
        <v>0</v>
      </c>
      <c r="C135" s="1">
        <f>IF(Quiniela!E82="",0,IF(B135="X",0,IF(B135=Quiniela!D82,Quiniela!G82,Quiniela!D82)))</f>
        <v>0</v>
      </c>
      <c r="D135" s="1">
        <f>IF(B135="X",Quiniela!D82,0)</f>
        <v>0</v>
      </c>
      <c r="E135" s="1">
        <f>IF(B135="X",Quiniela!G82,0)</f>
        <v>0</v>
      </c>
      <c r="M135">
        <v>115</v>
      </c>
      <c r="N135" t="s">
        <v>125</v>
      </c>
      <c r="O135" t="s">
        <v>119</v>
      </c>
      <c r="P135" t="s">
        <v>82</v>
      </c>
      <c r="Q135" t="s">
        <v>89</v>
      </c>
      <c r="R135" t="s">
        <v>138</v>
      </c>
      <c r="S135" t="s">
        <v>96</v>
      </c>
      <c r="T135" t="s">
        <v>131</v>
      </c>
      <c r="U135" t="s">
        <v>156</v>
      </c>
      <c r="V135" t="s">
        <v>295</v>
      </c>
    </row>
    <row r="136" spans="1:22" x14ac:dyDescent="0.25">
      <c r="B136" s="1">
        <f>IF(Quiniela!E83="",0,IF(Quiniela!E83&gt;Quiniela!I83,Quiniela!D83,IF(Quiniela!I83&gt;Quiniela!E83,Quiniela!G83,"X")))</f>
        <v>0</v>
      </c>
      <c r="C136" s="1">
        <f>IF(Quiniela!E83="",0,IF(B136="X",0,IF(B136=Quiniela!D83,Quiniela!G83,Quiniela!D83)))</f>
        <v>0</v>
      </c>
      <c r="D136" s="1">
        <f>IF(B136="X",Quiniela!D83,0)</f>
        <v>0</v>
      </c>
      <c r="E136" s="1">
        <f>IF(B136="X",Quiniela!G83,0)</f>
        <v>0</v>
      </c>
      <c r="M136">
        <v>116</v>
      </c>
      <c r="N136" t="s">
        <v>89</v>
      </c>
      <c r="O136" t="s">
        <v>138</v>
      </c>
      <c r="P136" t="s">
        <v>82</v>
      </c>
      <c r="Q136" t="s">
        <v>96</v>
      </c>
      <c r="R136" t="s">
        <v>131</v>
      </c>
      <c r="S136" t="s">
        <v>111</v>
      </c>
      <c r="T136" t="s">
        <v>160</v>
      </c>
      <c r="U136" t="s">
        <v>156</v>
      </c>
      <c r="V136" t="s">
        <v>296</v>
      </c>
    </row>
    <row r="137" spans="1:22" x14ac:dyDescent="0.25">
      <c r="B137" s="1">
        <f>IF(Quiniela!E84="",0,IF(Quiniela!E84&gt;Quiniela!I84,Quiniela!D84,IF(Quiniela!I84&gt;Quiniela!E84,Quiniela!G84,"X")))</f>
        <v>0</v>
      </c>
      <c r="C137" s="1">
        <f>IF(Quiniela!E84="",0,IF(B137="X",0,IF(B137=Quiniela!D84,Quiniela!G84,Quiniela!D84)))</f>
        <v>0</v>
      </c>
      <c r="D137" s="1">
        <f>IF(B137="X",Quiniela!D84,0)</f>
        <v>0</v>
      </c>
      <c r="E137" s="1">
        <f>IF(B137="X",Quiniela!G84,0)</f>
        <v>0</v>
      </c>
      <c r="M137">
        <v>117</v>
      </c>
      <c r="N137" t="s">
        <v>89</v>
      </c>
      <c r="O137" t="s">
        <v>138</v>
      </c>
      <c r="P137" t="s">
        <v>82</v>
      </c>
      <c r="Q137" t="s">
        <v>96</v>
      </c>
      <c r="R137" t="s">
        <v>125</v>
      </c>
      <c r="S137" t="s">
        <v>111</v>
      </c>
      <c r="T137" t="s">
        <v>160</v>
      </c>
      <c r="U137" t="s">
        <v>156</v>
      </c>
      <c r="V137" t="s">
        <v>297</v>
      </c>
    </row>
    <row r="138" spans="1:22" x14ac:dyDescent="0.25">
      <c r="B138" s="1">
        <f>IF(Quiniela!E85="",0,IF(Quiniela!E85&gt;Quiniela!I85,Quiniela!D85,IF(Quiniela!I85&gt;Quiniela!E85,Quiniela!G85,"X")))</f>
        <v>0</v>
      </c>
      <c r="C138" s="1">
        <f>IF(Quiniela!E85="",0,IF(B138="X",0,IF(B138=Quiniela!D85,Quiniela!G85,Quiniela!D85)))</f>
        <v>0</v>
      </c>
      <c r="D138" s="1">
        <f>IF(B138="X",Quiniela!D85,0)</f>
        <v>0</v>
      </c>
      <c r="E138" s="1">
        <f>IF(B138="X",Quiniela!G85,0)</f>
        <v>0</v>
      </c>
      <c r="M138">
        <v>118</v>
      </c>
      <c r="N138" t="s">
        <v>89</v>
      </c>
      <c r="O138" t="s">
        <v>131</v>
      </c>
      <c r="P138" t="s">
        <v>82</v>
      </c>
      <c r="Q138" t="s">
        <v>96</v>
      </c>
      <c r="R138" t="s">
        <v>125</v>
      </c>
      <c r="S138" t="s">
        <v>111</v>
      </c>
      <c r="T138" t="s">
        <v>160</v>
      </c>
      <c r="U138" t="s">
        <v>156</v>
      </c>
      <c r="V138" t="s">
        <v>298</v>
      </c>
    </row>
    <row r="139" spans="1:22" x14ac:dyDescent="0.25">
      <c r="B139" s="1">
        <f>IF(Quiniela!E86="",0,IF(Quiniela!E86&gt;Quiniela!I86,Quiniela!D86,IF(Quiniela!I86&gt;Quiniela!E86,Quiniela!G86,"X")))</f>
        <v>0</v>
      </c>
      <c r="C139" s="1">
        <f>IF(Quiniela!E86="",0,IF(B139="X",0,IF(B139=Quiniela!D86,Quiniela!G86,Quiniela!D86)))</f>
        <v>0</v>
      </c>
      <c r="D139" s="1">
        <f>IF(B139="X",Quiniela!D86,0)</f>
        <v>0</v>
      </c>
      <c r="E139" s="1">
        <f>IF(B139="X",Quiniela!G86,0)</f>
        <v>0</v>
      </c>
      <c r="M139">
        <v>119</v>
      </c>
      <c r="N139" t="s">
        <v>89</v>
      </c>
      <c r="O139" t="s">
        <v>138</v>
      </c>
      <c r="P139" t="s">
        <v>82</v>
      </c>
      <c r="Q139" t="s">
        <v>96</v>
      </c>
      <c r="R139" t="s">
        <v>125</v>
      </c>
      <c r="S139" t="s">
        <v>111</v>
      </c>
      <c r="T139" t="s">
        <v>160</v>
      </c>
      <c r="U139" t="s">
        <v>131</v>
      </c>
      <c r="V139" t="s">
        <v>299</v>
      </c>
    </row>
    <row r="140" spans="1:22" x14ac:dyDescent="0.25">
      <c r="M140">
        <v>120</v>
      </c>
      <c r="N140" t="s">
        <v>89</v>
      </c>
      <c r="O140" t="s">
        <v>138</v>
      </c>
      <c r="P140" t="s">
        <v>82</v>
      </c>
      <c r="Q140" t="s">
        <v>96</v>
      </c>
      <c r="R140" t="s">
        <v>125</v>
      </c>
      <c r="S140" t="s">
        <v>111</v>
      </c>
      <c r="T140" t="s">
        <v>131</v>
      </c>
      <c r="U140" t="s">
        <v>156</v>
      </c>
      <c r="V140" t="s">
        <v>300</v>
      </c>
    </row>
    <row r="141" spans="1:22" x14ac:dyDescent="0.25">
      <c r="A141" s="3" t="s">
        <v>13</v>
      </c>
      <c r="B141" s="3" t="s">
        <v>14</v>
      </c>
      <c r="C141" s="3" t="s">
        <v>15</v>
      </c>
      <c r="D141" s="3" t="s">
        <v>16</v>
      </c>
      <c r="E141" s="3" t="s">
        <v>17</v>
      </c>
      <c r="F141" s="3" t="s">
        <v>18</v>
      </c>
      <c r="G141" s="3" t="s">
        <v>59</v>
      </c>
      <c r="H141" s="3" t="s">
        <v>180</v>
      </c>
      <c r="I141" s="3" t="s">
        <v>19</v>
      </c>
      <c r="J141" s="3" t="s">
        <v>60</v>
      </c>
      <c r="K141" s="3" t="s">
        <v>12</v>
      </c>
      <c r="M141">
        <v>121</v>
      </c>
      <c r="N141" t="s">
        <v>89</v>
      </c>
      <c r="O141" t="s">
        <v>119</v>
      </c>
      <c r="P141" t="s">
        <v>82</v>
      </c>
      <c r="Q141" t="s">
        <v>96</v>
      </c>
      <c r="R141" t="s">
        <v>138</v>
      </c>
      <c r="S141" t="s">
        <v>111</v>
      </c>
      <c r="T141" t="s">
        <v>160</v>
      </c>
      <c r="U141" t="s">
        <v>156</v>
      </c>
      <c r="V141" t="s">
        <v>301</v>
      </c>
    </row>
    <row r="142" spans="1:22" x14ac:dyDescent="0.25">
      <c r="A142" s="1" t="str">
        <f>B12</f>
        <v>FRANCIA</v>
      </c>
      <c r="B142" s="1">
        <f>SUMPRODUCT((Quiniela!D81:D86=A142)*(Quiniela!E81:E86&lt;&gt;""))+SUMPRODUCT((Quiniela!G81:G86=A142)*(Quiniela!I81:I86&lt;&gt;""))</f>
        <v>0</v>
      </c>
      <c r="C142" s="1">
        <f>SUMPRODUCT(((Quiniela!D81:D86=A142)*(Quiniela!E81:E86&gt;Quiniela!I81:I86))+((Quiniela!G81:G86=A142)*(Quiniela!I81:I86&gt;Quiniela!E81:E86)))</f>
        <v>0</v>
      </c>
      <c r="D142" s="1">
        <f>SUMPRODUCT(((Quiniela!D81:D86=A142)*(Quiniela!E81:E86&lt;Quiniela!I81:I86))+((Quiniela!G81:G86=A142)*(Quiniela!I81:I86&lt;Quiniela!E81:E86)))</f>
        <v>0</v>
      </c>
      <c r="E142" s="1">
        <f>SUMPRODUCT(((Quiniela!D81:D86=A142)*(Quiniela!E81:E86=Quiniela!I81:I86)*(Quiniela!E81:E86&lt;&gt;""))+((Quiniela!G81:G86=A142)*(Quiniela!I81:I86=Quiniela!E81:E86)*(Quiniela!I81:I86&lt;&gt;"")))</f>
        <v>0</v>
      </c>
      <c r="F142" s="1">
        <f>C142*3+E142</f>
        <v>0</v>
      </c>
      <c r="G142" s="1">
        <f>SUMIF(Quiniela!$D$81:$D$86,A142,Quiniela!$E$81:$E$86)+SUMIF(Quiniela!$G$81:$G$86,A142,Quiniela!$I$81:$I$86)</f>
        <v>0</v>
      </c>
      <c r="H142" s="1">
        <f>SUMIF(Quiniela!$D$81:$D$86,A142,Quiniela!$I$81:$I$86)+SUMIF(Quiniela!$G$81:$G$86,A142,Quiniela!$E$81:$E$86)</f>
        <v>0</v>
      </c>
      <c r="I142" s="1">
        <f>G142-H142</f>
        <v>0</v>
      </c>
      <c r="J142" s="1">
        <f>F142+I142/100+G142/10000+0.0000004</f>
        <v>3.9999999999999998E-7</v>
      </c>
      <c r="K142" s="1">
        <f>RANK(J142,$J$142:$J$145,0)</f>
        <v>1</v>
      </c>
      <c r="M142">
        <v>122</v>
      </c>
      <c r="N142" t="s">
        <v>89</v>
      </c>
      <c r="O142" t="s">
        <v>119</v>
      </c>
      <c r="P142" t="s">
        <v>82</v>
      </c>
      <c r="Q142" t="s">
        <v>96</v>
      </c>
      <c r="R142" t="s">
        <v>131</v>
      </c>
      <c r="S142" t="s">
        <v>111</v>
      </c>
      <c r="T142" t="s">
        <v>160</v>
      </c>
      <c r="U142" t="s">
        <v>156</v>
      </c>
      <c r="V142" t="s">
        <v>302</v>
      </c>
    </row>
    <row r="143" spans="1:22" x14ac:dyDescent="0.25">
      <c r="A143" s="1" t="str">
        <f>C12</f>
        <v>SENEGAL</v>
      </c>
      <c r="B143" s="1">
        <f>SUMPRODUCT((Quiniela!D81:D86=A143)*(Quiniela!E81:E86&lt;&gt;""))+SUMPRODUCT((Quiniela!G81:G86=A143)*(Quiniela!I81:I86&lt;&gt;""))</f>
        <v>0</v>
      </c>
      <c r="C143" s="1">
        <f>SUMPRODUCT(((Quiniela!D81:D86=A143)*(Quiniela!E81:E86&gt;Quiniela!I81:I86))+((Quiniela!G81:G86=A143)*(Quiniela!I81:I86&gt;Quiniela!E81:E86)))</f>
        <v>0</v>
      </c>
      <c r="D143" s="1">
        <f>SUMPRODUCT(((Quiniela!D81:D86=A143)*(Quiniela!E81:E86&lt;Quiniela!I81:I86))+((Quiniela!G81:G86=A143)*(Quiniela!I81:I86&lt;Quiniela!E81:E86)))</f>
        <v>0</v>
      </c>
      <c r="E143" s="1">
        <f>SUMPRODUCT(((Quiniela!D81:D86=A143)*(Quiniela!E81:E86=Quiniela!I81:I86)*(Quiniela!E81:E86&lt;&gt;""))+((Quiniela!G81:G86=A143)*(Quiniela!I81:I86=Quiniela!E81:E86)*(Quiniela!I81:I86&lt;&gt;"")))</f>
        <v>0</v>
      </c>
      <c r="F143" s="1">
        <f>C143*3+E143</f>
        <v>0</v>
      </c>
      <c r="G143" s="1">
        <f>SUMIF(Quiniela!$D$81:$D$86,A143,Quiniela!$E$81:$E$86)+SUMIF(Quiniela!$G$81:$G$86,A143,Quiniela!$I$81:$I$86)</f>
        <v>0</v>
      </c>
      <c r="H143" s="1">
        <f>SUMIF(Quiniela!$D$81:$D$86,A143,Quiniela!$I$81:$I$86)+SUMIF(Quiniela!$G$81:$G$86,A143,Quiniela!$E$81:$E$86)</f>
        <v>0</v>
      </c>
      <c r="I143" s="1">
        <f>G143-H143</f>
        <v>0</v>
      </c>
      <c r="J143" s="1">
        <f>F143+I143/100+G143/10000+0.0000003</f>
        <v>2.9999999999999999E-7</v>
      </c>
      <c r="K143" s="1">
        <f>RANK(J143,$J$142:$J$145,0)</f>
        <v>2</v>
      </c>
      <c r="M143">
        <v>123</v>
      </c>
      <c r="N143" t="s">
        <v>89</v>
      </c>
      <c r="O143" t="s">
        <v>119</v>
      </c>
      <c r="P143" t="s">
        <v>82</v>
      </c>
      <c r="Q143" t="s">
        <v>96</v>
      </c>
      <c r="R143" t="s">
        <v>138</v>
      </c>
      <c r="S143" t="s">
        <v>111</v>
      </c>
      <c r="T143" t="s">
        <v>160</v>
      </c>
      <c r="U143" t="s">
        <v>131</v>
      </c>
      <c r="V143" t="s">
        <v>303</v>
      </c>
    </row>
    <row r="144" spans="1:22" x14ac:dyDescent="0.25">
      <c r="A144" s="1" t="str">
        <f>D12</f>
        <v>IRAK</v>
      </c>
      <c r="B144" s="1">
        <f>SUMPRODUCT((Quiniela!D81:D86=A144)*(Quiniela!E81:E86&lt;&gt;""))+SUMPRODUCT((Quiniela!G81:G86=A144)*(Quiniela!I81:I86&lt;&gt;""))</f>
        <v>0</v>
      </c>
      <c r="C144" s="1">
        <f>SUMPRODUCT(((Quiniela!D81:D86=A144)*(Quiniela!E81:E86&gt;Quiniela!I81:I86))+((Quiniela!G81:G86=A144)*(Quiniela!I81:I86&gt;Quiniela!E81:E86)))</f>
        <v>0</v>
      </c>
      <c r="D144" s="1">
        <f>SUMPRODUCT(((Quiniela!D81:D86=A144)*(Quiniela!E81:E86&lt;Quiniela!I81:I86))+((Quiniela!G81:G86=A144)*(Quiniela!I81:I86&lt;Quiniela!E81:E86)))</f>
        <v>0</v>
      </c>
      <c r="E144" s="1">
        <f>SUMPRODUCT(((Quiniela!D81:D86=A144)*(Quiniela!E81:E86=Quiniela!I81:I86)*(Quiniela!E81:E86&lt;&gt;""))+((Quiniela!G81:G86=A144)*(Quiniela!I81:I86=Quiniela!E81:E86)*(Quiniela!I81:I86&lt;&gt;"")))</f>
        <v>0</v>
      </c>
      <c r="F144" s="1">
        <f>C144*3+E144</f>
        <v>0</v>
      </c>
      <c r="G144" s="1">
        <f>SUMIF(Quiniela!$D$81:$D$86,A144,Quiniela!$E$81:$E$86)+SUMIF(Quiniela!$G$81:$G$86,A144,Quiniela!$I$81:$I$86)</f>
        <v>0</v>
      </c>
      <c r="H144" s="1">
        <f>SUMIF(Quiniela!$D$81:$D$86,A144,Quiniela!$I$81:$I$86)+SUMIF(Quiniela!$G$81:$G$86,A144,Quiniela!$E$81:$E$86)</f>
        <v>0</v>
      </c>
      <c r="I144" s="1">
        <f>G144-H144</f>
        <v>0</v>
      </c>
      <c r="J144" s="1">
        <f>F144+I144/100+G144/10000+0.0000002</f>
        <v>1.9999999999999999E-7</v>
      </c>
      <c r="K144" s="1">
        <f>RANK(J144,$J$142:$J$145,0)</f>
        <v>3</v>
      </c>
      <c r="M144">
        <v>124</v>
      </c>
      <c r="N144" t="s">
        <v>89</v>
      </c>
      <c r="O144" t="s">
        <v>119</v>
      </c>
      <c r="P144" t="s">
        <v>82</v>
      </c>
      <c r="Q144" t="s">
        <v>96</v>
      </c>
      <c r="R144" t="s">
        <v>138</v>
      </c>
      <c r="S144" t="s">
        <v>111</v>
      </c>
      <c r="T144" t="s">
        <v>131</v>
      </c>
      <c r="U144" t="s">
        <v>156</v>
      </c>
      <c r="V144" t="s">
        <v>304</v>
      </c>
    </row>
    <row r="145" spans="1:22" x14ac:dyDescent="0.25">
      <c r="A145" s="1" t="str">
        <f>E12</f>
        <v>NORUEGA</v>
      </c>
      <c r="B145" s="1">
        <f>SUMPRODUCT((Quiniela!D81:D86=A145)*(Quiniela!E81:E86&lt;&gt;""))+SUMPRODUCT((Quiniela!G81:G86=A145)*(Quiniela!I81:I86&lt;&gt;""))</f>
        <v>0</v>
      </c>
      <c r="C145" s="1">
        <f>SUMPRODUCT(((Quiniela!D81:D86=A145)*(Quiniela!E81:E86&gt;Quiniela!I81:I86))+((Quiniela!G81:G86=A145)*(Quiniela!I81:I86&gt;Quiniela!E81:E86)))</f>
        <v>0</v>
      </c>
      <c r="D145" s="1">
        <f>SUMPRODUCT(((Quiniela!D81:D86=A145)*(Quiniela!E81:E86&lt;Quiniela!I81:I86))+((Quiniela!G81:G86=A145)*(Quiniela!I81:I86&lt;Quiniela!E81:E86)))</f>
        <v>0</v>
      </c>
      <c r="E145" s="1">
        <f>SUMPRODUCT(((Quiniela!D81:D86=A145)*(Quiniela!E81:E86=Quiniela!I81:I86)*(Quiniela!E81:E86&lt;&gt;""))+((Quiniela!G81:G86=A145)*(Quiniela!I81:I86=Quiniela!E81:E86)*(Quiniela!I81:I86&lt;&gt;"")))</f>
        <v>0</v>
      </c>
      <c r="F145" s="1">
        <f>C145*3+E145</f>
        <v>0</v>
      </c>
      <c r="G145" s="1">
        <f>SUMIF(Quiniela!$D$81:$D$86,A145,Quiniela!$E$81:$E$86)+SUMIF(Quiniela!$G$81:$G$86,A145,Quiniela!$I$81:$I$86)</f>
        <v>0</v>
      </c>
      <c r="H145" s="1">
        <f>SUMIF(Quiniela!$D$81:$D$86,A145,Quiniela!$I$81:$I$86)+SUMIF(Quiniela!$G$81:$G$86,A145,Quiniela!$E$81:$E$86)</f>
        <v>0</v>
      </c>
      <c r="I145" s="1">
        <f>G145-H145</f>
        <v>0</v>
      </c>
      <c r="J145" s="1">
        <f>F145+I145/100+G145/10000+0.0000001</f>
        <v>9.9999999999999995E-8</v>
      </c>
      <c r="K145" s="1">
        <f>RANK(J145,$J$142:$J$145,0)</f>
        <v>4</v>
      </c>
      <c r="M145">
        <v>125</v>
      </c>
      <c r="N145" t="s">
        <v>89</v>
      </c>
      <c r="O145" t="s">
        <v>119</v>
      </c>
      <c r="P145" t="s">
        <v>82</v>
      </c>
      <c r="Q145" t="s">
        <v>96</v>
      </c>
      <c r="R145" t="s">
        <v>125</v>
      </c>
      <c r="S145" t="s">
        <v>111</v>
      </c>
      <c r="T145" t="s">
        <v>160</v>
      </c>
      <c r="U145" t="s">
        <v>156</v>
      </c>
      <c r="V145" t="s">
        <v>305</v>
      </c>
    </row>
    <row r="146" spans="1:22" x14ac:dyDescent="0.25">
      <c r="A146" s="137" t="s">
        <v>306</v>
      </c>
      <c r="B146" s="138"/>
      <c r="C146" s="138"/>
      <c r="D146" s="138"/>
      <c r="E146" s="138"/>
      <c r="F146" s="138"/>
      <c r="G146" s="138"/>
      <c r="H146" s="138"/>
      <c r="I146" s="138"/>
      <c r="J146" s="138"/>
      <c r="K146" s="138"/>
      <c r="M146">
        <v>126</v>
      </c>
      <c r="N146" t="s">
        <v>89</v>
      </c>
      <c r="O146" t="s">
        <v>119</v>
      </c>
      <c r="P146" t="s">
        <v>82</v>
      </c>
      <c r="Q146" t="s">
        <v>96</v>
      </c>
      <c r="R146" t="s">
        <v>125</v>
      </c>
      <c r="S146" t="s">
        <v>111</v>
      </c>
      <c r="T146" t="s">
        <v>160</v>
      </c>
      <c r="U146" t="s">
        <v>138</v>
      </c>
      <c r="V146" t="s">
        <v>307</v>
      </c>
    </row>
    <row r="147" spans="1:22" x14ac:dyDescent="0.25">
      <c r="B147" s="2" t="s">
        <v>66</v>
      </c>
      <c r="C147" s="2" t="s">
        <v>169</v>
      </c>
      <c r="D147" s="2" t="s">
        <v>170</v>
      </c>
      <c r="E147" s="2" t="s">
        <v>171</v>
      </c>
      <c r="M147">
        <v>127</v>
      </c>
      <c r="N147" t="s">
        <v>125</v>
      </c>
      <c r="O147" t="s">
        <v>119</v>
      </c>
      <c r="P147" t="s">
        <v>82</v>
      </c>
      <c r="Q147" t="s">
        <v>89</v>
      </c>
      <c r="R147" t="s">
        <v>138</v>
      </c>
      <c r="S147" t="s">
        <v>111</v>
      </c>
      <c r="T147" t="s">
        <v>96</v>
      </c>
      <c r="U147" t="s">
        <v>156</v>
      </c>
      <c r="V147" t="s">
        <v>308</v>
      </c>
    </row>
    <row r="148" spans="1:22" x14ac:dyDescent="0.25">
      <c r="B148" s="1">
        <f>IF(Quiniela!E89="",0,IF(Quiniela!E89&gt;Quiniela!I89,Quiniela!D89,IF(Quiniela!I89&gt;Quiniela!E89,Quiniela!G89,"X")))</f>
        <v>0</v>
      </c>
      <c r="C148" s="1">
        <f>IF(Quiniela!E89="",0,IF(B148="X",0,IF(B148=Quiniela!D89,Quiniela!G89,Quiniela!D89)))</f>
        <v>0</v>
      </c>
      <c r="D148" s="1">
        <f>IF(B148="X",Quiniela!D89,0)</f>
        <v>0</v>
      </c>
      <c r="E148" s="1">
        <f>IF(B148="X",Quiniela!G89,0)</f>
        <v>0</v>
      </c>
      <c r="M148">
        <v>128</v>
      </c>
      <c r="N148" t="s">
        <v>89</v>
      </c>
      <c r="O148" t="s">
        <v>119</v>
      </c>
      <c r="P148" t="s">
        <v>82</v>
      </c>
      <c r="Q148" t="s">
        <v>96</v>
      </c>
      <c r="R148" t="s">
        <v>125</v>
      </c>
      <c r="S148" t="s">
        <v>111</v>
      </c>
      <c r="T148" t="s">
        <v>160</v>
      </c>
      <c r="U148" t="s">
        <v>131</v>
      </c>
      <c r="V148" t="s">
        <v>309</v>
      </c>
    </row>
    <row r="149" spans="1:22" x14ac:dyDescent="0.25">
      <c r="B149" s="1">
        <f>IF(Quiniela!E90="",0,IF(Quiniela!E90&gt;Quiniela!I90,Quiniela!D90,IF(Quiniela!I90&gt;Quiniela!E90,Quiniela!G90,"X")))</f>
        <v>0</v>
      </c>
      <c r="C149" s="1">
        <f>IF(Quiniela!E90="",0,IF(B149="X",0,IF(B149=Quiniela!D90,Quiniela!G90,Quiniela!D90)))</f>
        <v>0</v>
      </c>
      <c r="D149" s="1">
        <f>IF(B149="X",Quiniela!D90,0)</f>
        <v>0</v>
      </c>
      <c r="E149" s="1">
        <f>IF(B149="X",Quiniela!G90,0)</f>
        <v>0</v>
      </c>
      <c r="M149">
        <v>129</v>
      </c>
      <c r="N149" t="s">
        <v>89</v>
      </c>
      <c r="O149" t="s">
        <v>119</v>
      </c>
      <c r="P149" t="s">
        <v>82</v>
      </c>
      <c r="Q149" t="s">
        <v>96</v>
      </c>
      <c r="R149" t="s">
        <v>125</v>
      </c>
      <c r="S149" t="s">
        <v>111</v>
      </c>
      <c r="T149" t="s">
        <v>131</v>
      </c>
      <c r="U149" t="s">
        <v>156</v>
      </c>
      <c r="V149" t="s">
        <v>310</v>
      </c>
    </row>
    <row r="150" spans="1:22" x14ac:dyDescent="0.25">
      <c r="B150" s="1">
        <f>IF(Quiniela!E91="",0,IF(Quiniela!E91&gt;Quiniela!I91,Quiniela!D91,IF(Quiniela!I91&gt;Quiniela!E91,Quiniela!G91,"X")))</f>
        <v>0</v>
      </c>
      <c r="C150" s="1">
        <f>IF(Quiniela!E91="",0,IF(B150="X",0,IF(B150=Quiniela!D91,Quiniela!G91,Quiniela!D91)))</f>
        <v>0</v>
      </c>
      <c r="D150" s="1">
        <f>IF(B150="X",Quiniela!D91,0)</f>
        <v>0</v>
      </c>
      <c r="E150" s="1">
        <f>IF(B150="X",Quiniela!G91,0)</f>
        <v>0</v>
      </c>
      <c r="M150">
        <v>130</v>
      </c>
      <c r="N150" t="s">
        <v>125</v>
      </c>
      <c r="O150" t="s">
        <v>119</v>
      </c>
      <c r="P150" t="s">
        <v>82</v>
      </c>
      <c r="Q150" t="s">
        <v>89</v>
      </c>
      <c r="R150" t="s">
        <v>138</v>
      </c>
      <c r="S150" t="s">
        <v>111</v>
      </c>
      <c r="T150" t="s">
        <v>96</v>
      </c>
      <c r="U150" t="s">
        <v>131</v>
      </c>
      <c r="V150" t="s">
        <v>311</v>
      </c>
    </row>
    <row r="151" spans="1:22" x14ac:dyDescent="0.25">
      <c r="B151" s="1">
        <f>IF(Quiniela!E92="",0,IF(Quiniela!E92&gt;Quiniela!I92,Quiniela!D92,IF(Quiniela!I92&gt;Quiniela!E92,Quiniela!G92,"X")))</f>
        <v>0</v>
      </c>
      <c r="C151" s="1">
        <f>IF(Quiniela!E92="",0,IF(B151="X",0,IF(B151=Quiniela!D92,Quiniela!G92,Quiniela!D92)))</f>
        <v>0</v>
      </c>
      <c r="D151" s="1">
        <f>IF(B151="X",Quiniela!D92,0)</f>
        <v>0</v>
      </c>
      <c r="E151" s="1">
        <f>IF(B151="X",Quiniela!G92,0)</f>
        <v>0</v>
      </c>
      <c r="M151">
        <v>131</v>
      </c>
      <c r="N151" t="s">
        <v>105</v>
      </c>
      <c r="O151" t="s">
        <v>138</v>
      </c>
      <c r="P151" t="s">
        <v>82</v>
      </c>
      <c r="Q151" t="s">
        <v>89</v>
      </c>
      <c r="R151" t="s">
        <v>131</v>
      </c>
      <c r="S151" t="s">
        <v>96</v>
      </c>
      <c r="T151" t="s">
        <v>160</v>
      </c>
      <c r="U151" t="s">
        <v>156</v>
      </c>
      <c r="V151" t="s">
        <v>312</v>
      </c>
    </row>
    <row r="152" spans="1:22" x14ac:dyDescent="0.25">
      <c r="B152" s="1">
        <f>IF(Quiniela!E93="",0,IF(Quiniela!E93&gt;Quiniela!I93,Quiniela!D93,IF(Quiniela!I93&gt;Quiniela!E93,Quiniela!G93,"X")))</f>
        <v>0</v>
      </c>
      <c r="C152" s="1">
        <f>IF(Quiniela!E93="",0,IF(B152="X",0,IF(B152=Quiniela!D93,Quiniela!G93,Quiniela!D93)))</f>
        <v>0</v>
      </c>
      <c r="D152" s="1">
        <f>IF(B152="X",Quiniela!D93,0)</f>
        <v>0</v>
      </c>
      <c r="E152" s="1">
        <f>IF(B152="X",Quiniela!G93,0)</f>
        <v>0</v>
      </c>
      <c r="M152">
        <v>132</v>
      </c>
      <c r="N152" t="s">
        <v>105</v>
      </c>
      <c r="O152" t="s">
        <v>138</v>
      </c>
      <c r="P152" t="s">
        <v>82</v>
      </c>
      <c r="Q152" t="s">
        <v>89</v>
      </c>
      <c r="R152" t="s">
        <v>125</v>
      </c>
      <c r="S152" t="s">
        <v>96</v>
      </c>
      <c r="T152" t="s">
        <v>160</v>
      </c>
      <c r="U152" t="s">
        <v>156</v>
      </c>
      <c r="V152" t="s">
        <v>313</v>
      </c>
    </row>
    <row r="153" spans="1:22" x14ac:dyDescent="0.25">
      <c r="B153" s="1">
        <f>IF(Quiniela!E94="",0,IF(Quiniela!E94&gt;Quiniela!I94,Quiniela!D94,IF(Quiniela!I94&gt;Quiniela!E94,Quiniela!G94,"X")))</f>
        <v>0</v>
      </c>
      <c r="C153" s="1">
        <f>IF(Quiniela!E94="",0,IF(B153="X",0,IF(B153=Quiniela!D94,Quiniela!G94,Quiniela!D94)))</f>
        <v>0</v>
      </c>
      <c r="D153" s="1">
        <f>IF(B153="X",Quiniela!D94,0)</f>
        <v>0</v>
      </c>
      <c r="E153" s="1">
        <f>IF(B153="X",Quiniela!G94,0)</f>
        <v>0</v>
      </c>
      <c r="M153">
        <v>133</v>
      </c>
      <c r="N153" t="s">
        <v>105</v>
      </c>
      <c r="O153" t="s">
        <v>131</v>
      </c>
      <c r="P153" t="s">
        <v>82</v>
      </c>
      <c r="Q153" t="s">
        <v>89</v>
      </c>
      <c r="R153" t="s">
        <v>125</v>
      </c>
      <c r="S153" t="s">
        <v>96</v>
      </c>
      <c r="T153" t="s">
        <v>160</v>
      </c>
      <c r="U153" t="s">
        <v>156</v>
      </c>
      <c r="V153" t="s">
        <v>314</v>
      </c>
    </row>
    <row r="154" spans="1:22" x14ac:dyDescent="0.25">
      <c r="M154">
        <v>134</v>
      </c>
      <c r="N154" t="s">
        <v>105</v>
      </c>
      <c r="O154" t="s">
        <v>138</v>
      </c>
      <c r="P154" t="s">
        <v>82</v>
      </c>
      <c r="Q154" t="s">
        <v>89</v>
      </c>
      <c r="R154" t="s">
        <v>125</v>
      </c>
      <c r="S154" t="s">
        <v>96</v>
      </c>
      <c r="T154" t="s">
        <v>160</v>
      </c>
      <c r="U154" t="s">
        <v>131</v>
      </c>
      <c r="V154" t="s">
        <v>315</v>
      </c>
    </row>
    <row r="155" spans="1:22" x14ac:dyDescent="0.25">
      <c r="A155" s="3" t="s">
        <v>13</v>
      </c>
      <c r="B155" s="3" t="s">
        <v>14</v>
      </c>
      <c r="C155" s="3" t="s">
        <v>15</v>
      </c>
      <c r="D155" s="3" t="s">
        <v>16</v>
      </c>
      <c r="E155" s="3" t="s">
        <v>17</v>
      </c>
      <c r="F155" s="3" t="s">
        <v>18</v>
      </c>
      <c r="G155" s="3" t="s">
        <v>59</v>
      </c>
      <c r="H155" s="3" t="s">
        <v>180</v>
      </c>
      <c r="I155" s="3" t="s">
        <v>19</v>
      </c>
      <c r="J155" s="3" t="s">
        <v>60</v>
      </c>
      <c r="K155" s="3" t="s">
        <v>12</v>
      </c>
      <c r="M155">
        <v>135</v>
      </c>
      <c r="N155" t="s">
        <v>105</v>
      </c>
      <c r="O155" t="s">
        <v>138</v>
      </c>
      <c r="P155" t="s">
        <v>82</v>
      </c>
      <c r="Q155" t="s">
        <v>89</v>
      </c>
      <c r="R155" t="s">
        <v>125</v>
      </c>
      <c r="S155" t="s">
        <v>96</v>
      </c>
      <c r="T155" t="s">
        <v>131</v>
      </c>
      <c r="U155" t="s">
        <v>156</v>
      </c>
      <c r="V155" t="s">
        <v>316</v>
      </c>
    </row>
    <row r="156" spans="1:22" x14ac:dyDescent="0.25">
      <c r="A156" s="1" t="str">
        <f>B13</f>
        <v>ARGENTINA</v>
      </c>
      <c r="B156" s="1">
        <f>SUMPRODUCT((Quiniela!D89:D94=A156)*(Quiniela!E89:E94&lt;&gt;""))+SUMPRODUCT((Quiniela!G89:G94=A156)*(Quiniela!I89:I94&lt;&gt;""))</f>
        <v>0</v>
      </c>
      <c r="C156" s="1">
        <f>SUMPRODUCT(((Quiniela!D89:D94=A156)*(Quiniela!E89:E94&gt;Quiniela!I89:I94))+((Quiniela!G89:G94=A156)*(Quiniela!I89:I94&gt;Quiniela!E89:E94)))</f>
        <v>0</v>
      </c>
      <c r="D156" s="1">
        <f>SUMPRODUCT(((Quiniela!D89:D94=A156)*(Quiniela!E89:E94&lt;Quiniela!I89:I94))+((Quiniela!G89:G94=A156)*(Quiniela!I89:I94&lt;Quiniela!E89:E94)))</f>
        <v>0</v>
      </c>
      <c r="E156" s="1">
        <f>SUMPRODUCT(((Quiniela!D89:D94=A156)*(Quiniela!E89:E94=Quiniela!I89:I94)*(Quiniela!E89:E94&lt;&gt;""))+((Quiniela!G89:G94=A156)*(Quiniela!I89:I94=Quiniela!E89:E94)*(Quiniela!I89:I94&lt;&gt;"")))</f>
        <v>0</v>
      </c>
      <c r="F156" s="1">
        <f>C156*3+E156</f>
        <v>0</v>
      </c>
      <c r="G156" s="1">
        <f>SUMIF(Quiniela!$D$89:$D$94,A156,Quiniela!$E$89:$E$94)+SUMIF(Quiniela!$G$89:$G$94,A156,Quiniela!$I$89:$I$94)</f>
        <v>0</v>
      </c>
      <c r="H156" s="1">
        <f>SUMIF(Quiniela!$D$89:$D$94,A156,Quiniela!$I$89:$I$94)+SUMIF(Quiniela!$G$89:$G$94,A156,Quiniela!$E$89:$E$94)</f>
        <v>0</v>
      </c>
      <c r="I156" s="1">
        <f>G156-H156</f>
        <v>0</v>
      </c>
      <c r="J156" s="1">
        <f>F156+I156/100+G156/10000+0.0000004</f>
        <v>3.9999999999999998E-7</v>
      </c>
      <c r="K156" s="1">
        <f>RANK(J156,$J$156:$J$159,0)</f>
        <v>1</v>
      </c>
      <c r="M156">
        <v>136</v>
      </c>
      <c r="N156" t="s">
        <v>105</v>
      </c>
      <c r="O156" t="s">
        <v>119</v>
      </c>
      <c r="P156" t="s">
        <v>82</v>
      </c>
      <c r="Q156" t="s">
        <v>89</v>
      </c>
      <c r="R156" t="s">
        <v>138</v>
      </c>
      <c r="S156" t="s">
        <v>96</v>
      </c>
      <c r="T156" t="s">
        <v>160</v>
      </c>
      <c r="U156" t="s">
        <v>156</v>
      </c>
      <c r="V156" t="s">
        <v>317</v>
      </c>
    </row>
    <row r="157" spans="1:22" x14ac:dyDescent="0.25">
      <c r="A157" s="1" t="str">
        <f>C13</f>
        <v>ARGELIA</v>
      </c>
      <c r="B157" s="1">
        <f>SUMPRODUCT((Quiniela!D89:D94=A157)*(Quiniela!E89:E94&lt;&gt;""))+SUMPRODUCT((Quiniela!G89:G94=A157)*(Quiniela!I89:I94&lt;&gt;""))</f>
        <v>0</v>
      </c>
      <c r="C157" s="1">
        <f>SUMPRODUCT(((Quiniela!D89:D94=A157)*(Quiniela!E89:E94&gt;Quiniela!I89:I94))+((Quiniela!G89:G94=A157)*(Quiniela!I89:I94&gt;Quiniela!E89:E94)))</f>
        <v>0</v>
      </c>
      <c r="D157" s="1">
        <f>SUMPRODUCT(((Quiniela!D89:D94=A157)*(Quiniela!E89:E94&lt;Quiniela!I89:I94))+((Quiniela!G89:G94=A157)*(Quiniela!I89:I94&lt;Quiniela!E89:E94)))</f>
        <v>0</v>
      </c>
      <c r="E157" s="1">
        <f>SUMPRODUCT(((Quiniela!D89:D94=A157)*(Quiniela!E89:E94=Quiniela!I89:I94)*(Quiniela!E89:E94&lt;&gt;""))+((Quiniela!G89:G94=A157)*(Quiniela!I89:I94=Quiniela!E89:E94)*(Quiniela!I89:I94&lt;&gt;"")))</f>
        <v>0</v>
      </c>
      <c r="F157" s="1">
        <f>C157*3+E157</f>
        <v>0</v>
      </c>
      <c r="G157" s="1">
        <f>SUMIF(Quiniela!$D$89:$D$94,A157,Quiniela!$E$89:$E$94)+SUMIF(Quiniela!$G$89:$G$94,A157,Quiniela!$I$89:$I$94)</f>
        <v>0</v>
      </c>
      <c r="H157" s="1">
        <f>SUMIF(Quiniela!$D$89:$D$94,A157,Quiniela!$I$89:$I$94)+SUMIF(Quiniela!$G$89:$G$94,A157,Quiniela!$E$89:$E$94)</f>
        <v>0</v>
      </c>
      <c r="I157" s="1">
        <f>G157-H157</f>
        <v>0</v>
      </c>
      <c r="J157" s="1">
        <f>F157+I157/100+G157/10000+0.0000003</f>
        <v>2.9999999999999999E-7</v>
      </c>
      <c r="K157" s="1">
        <f>RANK(J157,$J$156:$J$159,0)</f>
        <v>2</v>
      </c>
      <c r="M157">
        <v>137</v>
      </c>
      <c r="N157" t="s">
        <v>105</v>
      </c>
      <c r="O157" t="s">
        <v>119</v>
      </c>
      <c r="P157" t="s">
        <v>82</v>
      </c>
      <c r="Q157" t="s">
        <v>89</v>
      </c>
      <c r="R157" t="s">
        <v>131</v>
      </c>
      <c r="S157" t="s">
        <v>96</v>
      </c>
      <c r="T157" t="s">
        <v>160</v>
      </c>
      <c r="U157" t="s">
        <v>156</v>
      </c>
      <c r="V157" t="s">
        <v>318</v>
      </c>
    </row>
    <row r="158" spans="1:22" x14ac:dyDescent="0.25">
      <c r="A158" s="1" t="str">
        <f>D13</f>
        <v>AUSTRIA</v>
      </c>
      <c r="B158" s="1">
        <f>SUMPRODUCT((Quiniela!D89:D94=A158)*(Quiniela!E89:E94&lt;&gt;""))+SUMPRODUCT((Quiniela!G89:G94=A158)*(Quiniela!I89:I94&lt;&gt;""))</f>
        <v>0</v>
      </c>
      <c r="C158" s="1">
        <f>SUMPRODUCT(((Quiniela!D89:D94=A158)*(Quiniela!E89:E94&gt;Quiniela!I89:I94))+((Quiniela!G89:G94=A158)*(Quiniela!I89:I94&gt;Quiniela!E89:E94)))</f>
        <v>0</v>
      </c>
      <c r="D158" s="1">
        <f>SUMPRODUCT(((Quiniela!D89:D94=A158)*(Quiniela!E89:E94&lt;Quiniela!I89:I94))+((Quiniela!G89:G94=A158)*(Quiniela!I89:I94&lt;Quiniela!E89:E94)))</f>
        <v>0</v>
      </c>
      <c r="E158" s="1">
        <f>SUMPRODUCT(((Quiniela!D89:D94=A158)*(Quiniela!E89:E94=Quiniela!I89:I94)*(Quiniela!E89:E94&lt;&gt;""))+((Quiniela!G89:G94=A158)*(Quiniela!I89:I94=Quiniela!E89:E94)*(Quiniela!I89:I94&lt;&gt;"")))</f>
        <v>0</v>
      </c>
      <c r="F158" s="1">
        <f>C158*3+E158</f>
        <v>0</v>
      </c>
      <c r="G158" s="1">
        <f>SUMIF(Quiniela!$D$89:$D$94,A158,Quiniela!$E$89:$E$94)+SUMIF(Quiniela!$G$89:$G$94,A158,Quiniela!$I$89:$I$94)</f>
        <v>0</v>
      </c>
      <c r="H158" s="1">
        <f>SUMIF(Quiniela!$D$89:$D$94,A158,Quiniela!$I$89:$I$94)+SUMIF(Quiniela!$G$89:$G$94,A158,Quiniela!$E$89:$E$94)</f>
        <v>0</v>
      </c>
      <c r="I158" s="1">
        <f>G158-H158</f>
        <v>0</v>
      </c>
      <c r="J158" s="1">
        <f>F158+I158/100+G158/10000+0.0000002</f>
        <v>1.9999999999999999E-7</v>
      </c>
      <c r="K158" s="1">
        <f>RANK(J158,$J$156:$J$159,0)</f>
        <v>3</v>
      </c>
      <c r="M158">
        <v>138</v>
      </c>
      <c r="N158" t="s">
        <v>105</v>
      </c>
      <c r="O158" t="s">
        <v>119</v>
      </c>
      <c r="P158" t="s">
        <v>82</v>
      </c>
      <c r="Q158" t="s">
        <v>89</v>
      </c>
      <c r="R158" t="s">
        <v>138</v>
      </c>
      <c r="S158" t="s">
        <v>96</v>
      </c>
      <c r="T158" t="s">
        <v>160</v>
      </c>
      <c r="U158" t="s">
        <v>131</v>
      </c>
      <c r="V158" t="s">
        <v>319</v>
      </c>
    </row>
    <row r="159" spans="1:22" x14ac:dyDescent="0.25">
      <c r="A159" s="1" t="str">
        <f>E13</f>
        <v>JORDANIA</v>
      </c>
      <c r="B159" s="1">
        <f>SUMPRODUCT((Quiniela!D89:D94=A159)*(Quiniela!E89:E94&lt;&gt;""))+SUMPRODUCT((Quiniela!G89:G94=A159)*(Quiniela!I89:I94&lt;&gt;""))</f>
        <v>0</v>
      </c>
      <c r="C159" s="1">
        <f>SUMPRODUCT(((Quiniela!D89:D94=A159)*(Quiniela!E89:E94&gt;Quiniela!I89:I94))+((Quiniela!G89:G94=A159)*(Quiniela!I89:I94&gt;Quiniela!E89:E94)))</f>
        <v>0</v>
      </c>
      <c r="D159" s="1">
        <f>SUMPRODUCT(((Quiniela!D89:D94=A159)*(Quiniela!E89:E94&lt;Quiniela!I89:I94))+((Quiniela!G89:G94=A159)*(Quiniela!I89:I94&lt;Quiniela!E89:E94)))</f>
        <v>0</v>
      </c>
      <c r="E159" s="1">
        <f>SUMPRODUCT(((Quiniela!D89:D94=A159)*(Quiniela!E89:E94=Quiniela!I89:I94)*(Quiniela!E89:E94&lt;&gt;""))+((Quiniela!G89:G94=A159)*(Quiniela!I89:I94=Quiniela!E89:E94)*(Quiniela!I89:I94&lt;&gt;"")))</f>
        <v>0</v>
      </c>
      <c r="F159" s="1">
        <f>C159*3+E159</f>
        <v>0</v>
      </c>
      <c r="G159" s="1">
        <f>SUMIF(Quiniela!$D$89:$D$94,A159,Quiniela!$E$89:$E$94)+SUMIF(Quiniela!$G$89:$G$94,A159,Quiniela!$I$89:$I$94)</f>
        <v>0</v>
      </c>
      <c r="H159" s="1">
        <f>SUMIF(Quiniela!$D$89:$D$94,A159,Quiniela!$I$89:$I$94)+SUMIF(Quiniela!$G$89:$G$94,A159,Quiniela!$E$89:$E$94)</f>
        <v>0</v>
      </c>
      <c r="I159" s="1">
        <f>G159-H159</f>
        <v>0</v>
      </c>
      <c r="J159" s="1">
        <f>F159+I159/100+G159/10000+0.0000001</f>
        <v>9.9999999999999995E-8</v>
      </c>
      <c r="K159" s="1">
        <f>RANK(J159,$J$156:$J$159,0)</f>
        <v>4</v>
      </c>
      <c r="M159">
        <v>139</v>
      </c>
      <c r="N159" t="s">
        <v>105</v>
      </c>
      <c r="O159" t="s">
        <v>119</v>
      </c>
      <c r="P159" t="s">
        <v>82</v>
      </c>
      <c r="Q159" t="s">
        <v>89</v>
      </c>
      <c r="R159" t="s">
        <v>138</v>
      </c>
      <c r="S159" t="s">
        <v>96</v>
      </c>
      <c r="T159" t="s">
        <v>131</v>
      </c>
      <c r="U159" t="s">
        <v>156</v>
      </c>
      <c r="V159" t="s">
        <v>320</v>
      </c>
    </row>
    <row r="160" spans="1:22" x14ac:dyDescent="0.25">
      <c r="A160" s="137" t="s">
        <v>321</v>
      </c>
      <c r="B160" s="138"/>
      <c r="C160" s="138"/>
      <c r="D160" s="138"/>
      <c r="E160" s="138"/>
      <c r="F160" s="138"/>
      <c r="G160" s="138"/>
      <c r="H160" s="138"/>
      <c r="I160" s="138"/>
      <c r="J160" s="138"/>
      <c r="K160" s="138"/>
      <c r="M160">
        <v>140</v>
      </c>
      <c r="N160" t="s">
        <v>105</v>
      </c>
      <c r="O160" t="s">
        <v>119</v>
      </c>
      <c r="P160" t="s">
        <v>82</v>
      </c>
      <c r="Q160" t="s">
        <v>89</v>
      </c>
      <c r="R160" t="s">
        <v>125</v>
      </c>
      <c r="S160" t="s">
        <v>96</v>
      </c>
      <c r="T160" t="s">
        <v>160</v>
      </c>
      <c r="U160" t="s">
        <v>156</v>
      </c>
      <c r="V160" t="s">
        <v>322</v>
      </c>
    </row>
    <row r="161" spans="1:22" x14ac:dyDescent="0.25">
      <c r="B161" s="2" t="s">
        <v>66</v>
      </c>
      <c r="C161" s="2" t="s">
        <v>169</v>
      </c>
      <c r="D161" s="2" t="s">
        <v>170</v>
      </c>
      <c r="E161" s="2" t="s">
        <v>171</v>
      </c>
      <c r="M161">
        <v>141</v>
      </c>
      <c r="N161" t="s">
        <v>125</v>
      </c>
      <c r="O161" t="s">
        <v>119</v>
      </c>
      <c r="P161" t="s">
        <v>82</v>
      </c>
      <c r="Q161" t="s">
        <v>89</v>
      </c>
      <c r="R161" t="s">
        <v>138</v>
      </c>
      <c r="S161" t="s">
        <v>96</v>
      </c>
      <c r="T161" t="s">
        <v>160</v>
      </c>
      <c r="U161" t="s">
        <v>105</v>
      </c>
      <c r="V161" t="s">
        <v>323</v>
      </c>
    </row>
    <row r="162" spans="1:22" x14ac:dyDescent="0.25">
      <c r="B162" s="1">
        <f>IF(Quiniela!E97="",0,IF(Quiniela!E97&gt;Quiniela!I97,Quiniela!D97,IF(Quiniela!I97&gt;Quiniela!E97,Quiniela!G97,"X")))</f>
        <v>0</v>
      </c>
      <c r="C162" s="1">
        <f>IF(Quiniela!E97="",0,IF(B162="X",0,IF(B162=Quiniela!D97,Quiniela!G97,Quiniela!D97)))</f>
        <v>0</v>
      </c>
      <c r="D162" s="1">
        <f>IF(B162="X",Quiniela!D97,0)</f>
        <v>0</v>
      </c>
      <c r="E162" s="1">
        <f>IF(B162="X",Quiniela!G97,0)</f>
        <v>0</v>
      </c>
      <c r="M162">
        <v>142</v>
      </c>
      <c r="N162" t="s">
        <v>125</v>
      </c>
      <c r="O162" t="s">
        <v>119</v>
      </c>
      <c r="P162" t="s">
        <v>82</v>
      </c>
      <c r="Q162" t="s">
        <v>89</v>
      </c>
      <c r="R162" t="s">
        <v>138</v>
      </c>
      <c r="S162" t="s">
        <v>96</v>
      </c>
      <c r="T162" t="s">
        <v>105</v>
      </c>
      <c r="U162" t="s">
        <v>156</v>
      </c>
      <c r="V162" t="s">
        <v>324</v>
      </c>
    </row>
    <row r="163" spans="1:22" x14ac:dyDescent="0.25">
      <c r="B163" s="1">
        <f>IF(Quiniela!E98="",0,IF(Quiniela!E98&gt;Quiniela!I98,Quiniela!D98,IF(Quiniela!I98&gt;Quiniela!E98,Quiniela!G98,"X")))</f>
        <v>0</v>
      </c>
      <c r="C163" s="1">
        <f>IF(Quiniela!E98="",0,IF(B163="X",0,IF(B163=Quiniela!D98,Quiniela!G98,Quiniela!D98)))</f>
        <v>0</v>
      </c>
      <c r="D163" s="1">
        <f>IF(B163="X",Quiniela!D98,0)</f>
        <v>0</v>
      </c>
      <c r="E163" s="1">
        <f>IF(B163="X",Quiniela!G98,0)</f>
        <v>0</v>
      </c>
      <c r="M163">
        <v>143</v>
      </c>
      <c r="N163" t="s">
        <v>105</v>
      </c>
      <c r="O163" t="s">
        <v>119</v>
      </c>
      <c r="P163" t="s">
        <v>82</v>
      </c>
      <c r="Q163" t="s">
        <v>89</v>
      </c>
      <c r="R163" t="s">
        <v>125</v>
      </c>
      <c r="S163" t="s">
        <v>96</v>
      </c>
      <c r="T163" t="s">
        <v>160</v>
      </c>
      <c r="U163" t="s">
        <v>131</v>
      </c>
      <c r="V163" t="s">
        <v>325</v>
      </c>
    </row>
    <row r="164" spans="1:22" x14ac:dyDescent="0.25">
      <c r="B164" s="1">
        <f>IF(Quiniela!E99="",0,IF(Quiniela!E99&gt;Quiniela!I99,Quiniela!D99,IF(Quiniela!I99&gt;Quiniela!E99,Quiniela!G99,"X")))</f>
        <v>0</v>
      </c>
      <c r="C164" s="1">
        <f>IF(Quiniela!E99="",0,IF(B164="X",0,IF(B164=Quiniela!D99,Quiniela!G99,Quiniela!D99)))</f>
        <v>0</v>
      </c>
      <c r="D164" s="1">
        <f>IF(B164="X",Quiniela!D99,0)</f>
        <v>0</v>
      </c>
      <c r="E164" s="1">
        <f>IF(B164="X",Quiniela!G99,0)</f>
        <v>0</v>
      </c>
      <c r="M164">
        <v>144</v>
      </c>
      <c r="N164" t="s">
        <v>105</v>
      </c>
      <c r="O164" t="s">
        <v>119</v>
      </c>
      <c r="P164" t="s">
        <v>82</v>
      </c>
      <c r="Q164" t="s">
        <v>89</v>
      </c>
      <c r="R164" t="s">
        <v>125</v>
      </c>
      <c r="S164" t="s">
        <v>96</v>
      </c>
      <c r="T164" t="s">
        <v>131</v>
      </c>
      <c r="U164" t="s">
        <v>156</v>
      </c>
      <c r="V164" t="s">
        <v>326</v>
      </c>
    </row>
    <row r="165" spans="1:22" x14ac:dyDescent="0.25">
      <c r="B165" s="1">
        <f>IF(Quiniela!E100="",0,IF(Quiniela!E100&gt;Quiniela!I100,Quiniela!D100,IF(Quiniela!I100&gt;Quiniela!E100,Quiniela!G100,"X")))</f>
        <v>0</v>
      </c>
      <c r="C165" s="1">
        <f>IF(Quiniela!E100="",0,IF(B165="X",0,IF(B165=Quiniela!D100,Quiniela!G100,Quiniela!D100)))</f>
        <v>0</v>
      </c>
      <c r="D165" s="1">
        <f>IF(B165="X",Quiniela!D100,0)</f>
        <v>0</v>
      </c>
      <c r="E165" s="1">
        <f>IF(B165="X",Quiniela!G100,0)</f>
        <v>0</v>
      </c>
      <c r="M165">
        <v>145</v>
      </c>
      <c r="N165" t="s">
        <v>125</v>
      </c>
      <c r="O165" t="s">
        <v>119</v>
      </c>
      <c r="P165" t="s">
        <v>82</v>
      </c>
      <c r="Q165" t="s">
        <v>89</v>
      </c>
      <c r="R165" t="s">
        <v>138</v>
      </c>
      <c r="S165" t="s">
        <v>96</v>
      </c>
      <c r="T165" t="s">
        <v>105</v>
      </c>
      <c r="U165" t="s">
        <v>131</v>
      </c>
      <c r="V165" t="s">
        <v>327</v>
      </c>
    </row>
    <row r="166" spans="1:22" x14ac:dyDescent="0.25">
      <c r="B166" s="1">
        <f>IF(Quiniela!E101="",0,IF(Quiniela!E101&gt;Quiniela!I101,Quiniela!D101,IF(Quiniela!I101&gt;Quiniela!E101,Quiniela!G101,"X")))</f>
        <v>0</v>
      </c>
      <c r="C166" s="1">
        <f>IF(Quiniela!E101="",0,IF(B166="X",0,IF(B166=Quiniela!D101,Quiniela!G101,Quiniela!D101)))</f>
        <v>0</v>
      </c>
      <c r="D166" s="1">
        <f>IF(B166="X",Quiniela!D101,0)</f>
        <v>0</v>
      </c>
      <c r="E166" s="1">
        <f>IF(B166="X",Quiniela!G101,0)</f>
        <v>0</v>
      </c>
      <c r="M166">
        <v>146</v>
      </c>
      <c r="N166" t="s">
        <v>89</v>
      </c>
      <c r="O166" t="s">
        <v>138</v>
      </c>
      <c r="P166" t="s">
        <v>82</v>
      </c>
      <c r="Q166" t="s">
        <v>96</v>
      </c>
      <c r="R166" t="s">
        <v>105</v>
      </c>
      <c r="S166" t="s">
        <v>111</v>
      </c>
      <c r="T166" t="s">
        <v>160</v>
      </c>
      <c r="U166" t="s">
        <v>156</v>
      </c>
      <c r="V166" t="s">
        <v>328</v>
      </c>
    </row>
    <row r="167" spans="1:22" x14ac:dyDescent="0.25">
      <c r="B167" s="1">
        <f>IF(Quiniela!E102="",0,IF(Quiniela!E102&gt;Quiniela!I102,Quiniela!D102,IF(Quiniela!I102&gt;Quiniela!E102,Quiniela!G102,"X")))</f>
        <v>0</v>
      </c>
      <c r="C167" s="1">
        <f>IF(Quiniela!E102="",0,IF(B167="X",0,IF(B167=Quiniela!D102,Quiniela!G102,Quiniela!D102)))</f>
        <v>0</v>
      </c>
      <c r="D167" s="1">
        <f>IF(B167="X",Quiniela!D102,0)</f>
        <v>0</v>
      </c>
      <c r="E167" s="1">
        <f>IF(B167="X",Quiniela!G102,0)</f>
        <v>0</v>
      </c>
      <c r="M167">
        <v>147</v>
      </c>
      <c r="N167" t="s">
        <v>89</v>
      </c>
      <c r="O167" t="s">
        <v>105</v>
      </c>
      <c r="P167" t="s">
        <v>82</v>
      </c>
      <c r="Q167" t="s">
        <v>96</v>
      </c>
      <c r="R167" t="s">
        <v>131</v>
      </c>
      <c r="S167" t="s">
        <v>111</v>
      </c>
      <c r="T167" t="s">
        <v>160</v>
      </c>
      <c r="U167" t="s">
        <v>156</v>
      </c>
      <c r="V167" t="s">
        <v>329</v>
      </c>
    </row>
    <row r="168" spans="1:22" x14ac:dyDescent="0.25">
      <c r="M168">
        <v>148</v>
      </c>
      <c r="N168" t="s">
        <v>89</v>
      </c>
      <c r="O168" t="s">
        <v>138</v>
      </c>
      <c r="P168" t="s">
        <v>82</v>
      </c>
      <c r="Q168" t="s">
        <v>96</v>
      </c>
      <c r="R168" t="s">
        <v>105</v>
      </c>
      <c r="S168" t="s">
        <v>111</v>
      </c>
      <c r="T168" t="s">
        <v>160</v>
      </c>
      <c r="U168" t="s">
        <v>131</v>
      </c>
      <c r="V168" t="s">
        <v>330</v>
      </c>
    </row>
    <row r="169" spans="1:22" x14ac:dyDescent="0.25">
      <c r="A169" s="3" t="s">
        <v>13</v>
      </c>
      <c r="B169" s="3" t="s">
        <v>14</v>
      </c>
      <c r="C169" s="3" t="s">
        <v>15</v>
      </c>
      <c r="D169" s="3" t="s">
        <v>16</v>
      </c>
      <c r="E169" s="3" t="s">
        <v>17</v>
      </c>
      <c r="F169" s="3" t="s">
        <v>18</v>
      </c>
      <c r="G169" s="3" t="s">
        <v>59</v>
      </c>
      <c r="H169" s="3" t="s">
        <v>180</v>
      </c>
      <c r="I169" s="3" t="s">
        <v>19</v>
      </c>
      <c r="J169" s="3" t="s">
        <v>60</v>
      </c>
      <c r="K169" s="3" t="s">
        <v>12</v>
      </c>
      <c r="M169">
        <v>149</v>
      </c>
      <c r="N169" t="s">
        <v>89</v>
      </c>
      <c r="O169" t="s">
        <v>138</v>
      </c>
      <c r="P169" t="s">
        <v>82</v>
      </c>
      <c r="Q169" t="s">
        <v>96</v>
      </c>
      <c r="R169" t="s">
        <v>105</v>
      </c>
      <c r="S169" t="s">
        <v>111</v>
      </c>
      <c r="T169" t="s">
        <v>131</v>
      </c>
      <c r="U169" t="s">
        <v>156</v>
      </c>
      <c r="V169" t="s">
        <v>331</v>
      </c>
    </row>
    <row r="170" spans="1:22" x14ac:dyDescent="0.25">
      <c r="A170" s="1" t="str">
        <f>B14</f>
        <v>PORTUGAL</v>
      </c>
      <c r="B170" s="1">
        <f>SUMPRODUCT((Quiniela!D97:D102=A170)*(Quiniela!E97:E102&lt;&gt;""))+SUMPRODUCT((Quiniela!G97:G102=A170)*(Quiniela!I97:I102&lt;&gt;""))</f>
        <v>0</v>
      </c>
      <c r="C170" s="1">
        <f>SUMPRODUCT(((Quiniela!D97:D102=A170)*(Quiniela!E97:E102&gt;Quiniela!I97:I102))+((Quiniela!G97:G102=A170)*(Quiniela!I97:I102&gt;Quiniela!E97:E102)))</f>
        <v>0</v>
      </c>
      <c r="D170" s="1">
        <f>SUMPRODUCT(((Quiniela!D97:D102=A170)*(Quiniela!E97:E102&lt;Quiniela!I97:I102))+((Quiniela!G97:G102=A170)*(Quiniela!I97:I102&lt;Quiniela!E97:E102)))</f>
        <v>0</v>
      </c>
      <c r="E170" s="1">
        <f>SUMPRODUCT(((Quiniela!D97:D102=A170)*(Quiniela!E97:E102=Quiniela!I97:I102)*(Quiniela!E97:E102&lt;&gt;""))+((Quiniela!G97:G102=A170)*(Quiniela!I97:I102=Quiniela!E97:E102)*(Quiniela!I97:I102&lt;&gt;"")))</f>
        <v>0</v>
      </c>
      <c r="F170" s="1">
        <f>C170*3+E170</f>
        <v>0</v>
      </c>
      <c r="G170" s="1">
        <f>SUMIF(Quiniela!$D$97:$D$102,A170,Quiniela!$E$97:$E$102)+SUMIF(Quiniela!$G$97:$G$102,A170,Quiniela!$I$97:$I$102)</f>
        <v>0</v>
      </c>
      <c r="H170" s="1">
        <f>SUMIF(Quiniela!$D$97:$D$102,A170,Quiniela!$I$97:$I$102)+SUMIF(Quiniela!$G$97:$G$102,A170,Quiniela!$E$97:$E$102)</f>
        <v>0</v>
      </c>
      <c r="I170" s="1">
        <f>G170-H170</f>
        <v>0</v>
      </c>
      <c r="J170" s="1">
        <f>F170+I170/100+G170/10000+0.0000004</f>
        <v>3.9999999999999998E-7</v>
      </c>
      <c r="K170" s="1">
        <f>RANK(J170,$J$170:$J$173,0)</f>
        <v>1</v>
      </c>
      <c r="M170">
        <v>150</v>
      </c>
      <c r="N170" t="s">
        <v>89</v>
      </c>
      <c r="O170" t="s">
        <v>105</v>
      </c>
      <c r="P170" t="s">
        <v>82</v>
      </c>
      <c r="Q170" t="s">
        <v>96</v>
      </c>
      <c r="R170" t="s">
        <v>125</v>
      </c>
      <c r="S170" t="s">
        <v>111</v>
      </c>
      <c r="T170" t="s">
        <v>160</v>
      </c>
      <c r="U170" t="s">
        <v>156</v>
      </c>
      <c r="V170" t="s">
        <v>332</v>
      </c>
    </row>
    <row r="171" spans="1:22" x14ac:dyDescent="0.25">
      <c r="A171" s="1" t="str">
        <f>C14</f>
        <v>RD CONGO</v>
      </c>
      <c r="B171" s="1">
        <f>SUMPRODUCT((Quiniela!D97:D102=A171)*(Quiniela!E97:E102&lt;&gt;""))+SUMPRODUCT((Quiniela!G97:G102=A171)*(Quiniela!I97:I102&lt;&gt;""))</f>
        <v>0</v>
      </c>
      <c r="C171" s="1">
        <f>SUMPRODUCT(((Quiniela!D97:D102=A171)*(Quiniela!E97:E102&gt;Quiniela!I97:I102))+((Quiniela!G97:G102=A171)*(Quiniela!I97:I102&gt;Quiniela!E97:E102)))</f>
        <v>0</v>
      </c>
      <c r="D171" s="1">
        <f>SUMPRODUCT(((Quiniela!D97:D102=A171)*(Quiniela!E97:E102&lt;Quiniela!I97:I102))+((Quiniela!G97:G102=A171)*(Quiniela!I97:I102&lt;Quiniela!E97:E102)))</f>
        <v>0</v>
      </c>
      <c r="E171" s="1">
        <f>SUMPRODUCT(((Quiniela!D97:D102=A171)*(Quiniela!E97:E102=Quiniela!I97:I102)*(Quiniela!E97:E102&lt;&gt;""))+((Quiniela!G97:G102=A171)*(Quiniela!I97:I102=Quiniela!E97:E102)*(Quiniela!I97:I102&lt;&gt;"")))</f>
        <v>0</v>
      </c>
      <c r="F171" s="1">
        <f>C171*3+E171</f>
        <v>0</v>
      </c>
      <c r="G171" s="1">
        <f>SUMIF(Quiniela!$D$97:$D$102,A171,Quiniela!$E$97:$E$102)+SUMIF(Quiniela!$G$97:$G$102,A171,Quiniela!$I$97:$I$102)</f>
        <v>0</v>
      </c>
      <c r="H171" s="1">
        <f>SUMIF(Quiniela!$D$97:$D$102,A171,Quiniela!$I$97:$I$102)+SUMIF(Quiniela!$G$97:$G$102,A171,Quiniela!$E$97:$E$102)</f>
        <v>0</v>
      </c>
      <c r="I171" s="1">
        <f>G171-H171</f>
        <v>0</v>
      </c>
      <c r="J171" s="1">
        <f>F171+I171/100+G171/10000+0.0000003</f>
        <v>2.9999999999999999E-7</v>
      </c>
      <c r="K171" s="1">
        <f>RANK(J171,$J$170:$J$173,0)</f>
        <v>2</v>
      </c>
      <c r="M171">
        <v>151</v>
      </c>
      <c r="N171" t="s">
        <v>89</v>
      </c>
      <c r="O171" t="s">
        <v>138</v>
      </c>
      <c r="P171" t="s">
        <v>82</v>
      </c>
      <c r="Q171" t="s">
        <v>96</v>
      </c>
      <c r="R171" t="s">
        <v>125</v>
      </c>
      <c r="S171" t="s">
        <v>111</v>
      </c>
      <c r="T171" t="s">
        <v>160</v>
      </c>
      <c r="U171" t="s">
        <v>105</v>
      </c>
      <c r="V171" t="s">
        <v>333</v>
      </c>
    </row>
    <row r="172" spans="1:22" x14ac:dyDescent="0.25">
      <c r="A172" s="1" t="str">
        <f>D14</f>
        <v>UZBEKISTAN</v>
      </c>
      <c r="B172" s="1">
        <f>SUMPRODUCT((Quiniela!D97:D102=A172)*(Quiniela!E97:E102&lt;&gt;""))+SUMPRODUCT((Quiniela!G97:G102=A172)*(Quiniela!I97:I102&lt;&gt;""))</f>
        <v>0</v>
      </c>
      <c r="C172" s="1">
        <f>SUMPRODUCT(((Quiniela!D97:D102=A172)*(Quiniela!E97:E102&gt;Quiniela!I97:I102))+((Quiniela!G97:G102=A172)*(Quiniela!I97:I102&gt;Quiniela!E97:E102)))</f>
        <v>0</v>
      </c>
      <c r="D172" s="1">
        <f>SUMPRODUCT(((Quiniela!D97:D102=A172)*(Quiniela!E97:E102&lt;Quiniela!I97:I102))+((Quiniela!G97:G102=A172)*(Quiniela!I97:I102&lt;Quiniela!E97:E102)))</f>
        <v>0</v>
      </c>
      <c r="E172" s="1">
        <f>SUMPRODUCT(((Quiniela!D97:D102=A172)*(Quiniela!E97:E102=Quiniela!I97:I102)*(Quiniela!E97:E102&lt;&gt;""))+((Quiniela!G97:G102=A172)*(Quiniela!I97:I102=Quiniela!E97:E102)*(Quiniela!I97:I102&lt;&gt;"")))</f>
        <v>0</v>
      </c>
      <c r="F172" s="1">
        <f>C172*3+E172</f>
        <v>0</v>
      </c>
      <c r="G172" s="1">
        <f>SUMIF(Quiniela!$D$97:$D$102,A172,Quiniela!$E$97:$E$102)+SUMIF(Quiniela!$G$97:$G$102,A172,Quiniela!$I$97:$I$102)</f>
        <v>0</v>
      </c>
      <c r="H172" s="1">
        <f>SUMIF(Quiniela!$D$97:$D$102,A172,Quiniela!$I$97:$I$102)+SUMIF(Quiniela!$G$97:$G$102,A172,Quiniela!$E$97:$E$102)</f>
        <v>0</v>
      </c>
      <c r="I172" s="1">
        <f>G172-H172</f>
        <v>0</v>
      </c>
      <c r="J172" s="1">
        <f>F172+I172/100+G172/10000+0.0000002</f>
        <v>1.9999999999999999E-7</v>
      </c>
      <c r="K172" s="1">
        <f>RANK(J172,$J$170:$J$173,0)</f>
        <v>3</v>
      </c>
      <c r="M172">
        <v>152</v>
      </c>
      <c r="N172" t="s">
        <v>89</v>
      </c>
      <c r="O172" t="s">
        <v>138</v>
      </c>
      <c r="P172" t="s">
        <v>82</v>
      </c>
      <c r="Q172" t="s">
        <v>96</v>
      </c>
      <c r="R172" t="s">
        <v>125</v>
      </c>
      <c r="S172" t="s">
        <v>111</v>
      </c>
      <c r="T172" t="s">
        <v>105</v>
      </c>
      <c r="U172" t="s">
        <v>156</v>
      </c>
      <c r="V172" t="s">
        <v>334</v>
      </c>
    </row>
    <row r="173" spans="1:22" x14ac:dyDescent="0.25">
      <c r="A173" s="1" t="str">
        <f>E14</f>
        <v>COLOMBIA</v>
      </c>
      <c r="B173" s="1">
        <f>SUMPRODUCT((Quiniela!D97:D102=A173)*(Quiniela!E97:E102&lt;&gt;""))+SUMPRODUCT((Quiniela!G97:G102=A173)*(Quiniela!I97:I102&lt;&gt;""))</f>
        <v>0</v>
      </c>
      <c r="C173" s="1">
        <f>SUMPRODUCT(((Quiniela!D97:D102=A173)*(Quiniela!E97:E102&gt;Quiniela!I97:I102))+((Quiniela!G97:G102=A173)*(Quiniela!I97:I102&gt;Quiniela!E97:E102)))</f>
        <v>0</v>
      </c>
      <c r="D173" s="1">
        <f>SUMPRODUCT(((Quiniela!D97:D102=A173)*(Quiniela!E97:E102&lt;Quiniela!I97:I102))+((Quiniela!G97:G102=A173)*(Quiniela!I97:I102&lt;Quiniela!E97:E102)))</f>
        <v>0</v>
      </c>
      <c r="E173" s="1">
        <f>SUMPRODUCT(((Quiniela!D97:D102=A173)*(Quiniela!E97:E102=Quiniela!I97:I102)*(Quiniela!E97:E102&lt;&gt;""))+((Quiniela!G97:G102=A173)*(Quiniela!I97:I102=Quiniela!E97:E102)*(Quiniela!I97:I102&lt;&gt;"")))</f>
        <v>0</v>
      </c>
      <c r="F173" s="1">
        <f>C173*3+E173</f>
        <v>0</v>
      </c>
      <c r="G173" s="1">
        <f>SUMIF(Quiniela!$D$97:$D$102,A173,Quiniela!$E$97:$E$102)+SUMIF(Quiniela!$G$97:$G$102,A173,Quiniela!$I$97:$I$102)</f>
        <v>0</v>
      </c>
      <c r="H173" s="1">
        <f>SUMIF(Quiniela!$D$97:$D$102,A173,Quiniela!$I$97:$I$102)+SUMIF(Quiniela!$G$97:$G$102,A173,Quiniela!$E$97:$E$102)</f>
        <v>0</v>
      </c>
      <c r="I173" s="1">
        <f>G173-H173</f>
        <v>0</v>
      </c>
      <c r="J173" s="1">
        <f>F173+I173/100+G173/10000+0.0000001</f>
        <v>9.9999999999999995E-8</v>
      </c>
      <c r="K173" s="1">
        <f>RANK(J173,$J$170:$J$173,0)</f>
        <v>4</v>
      </c>
      <c r="M173">
        <v>153</v>
      </c>
      <c r="N173" t="s">
        <v>89</v>
      </c>
      <c r="O173" t="s">
        <v>105</v>
      </c>
      <c r="P173" t="s">
        <v>82</v>
      </c>
      <c r="Q173" t="s">
        <v>96</v>
      </c>
      <c r="R173" t="s">
        <v>125</v>
      </c>
      <c r="S173" t="s">
        <v>111</v>
      </c>
      <c r="T173" t="s">
        <v>160</v>
      </c>
      <c r="U173" t="s">
        <v>131</v>
      </c>
      <c r="V173" t="s">
        <v>335</v>
      </c>
    </row>
    <row r="174" spans="1:22" x14ac:dyDescent="0.25">
      <c r="A174" s="137" t="s">
        <v>336</v>
      </c>
      <c r="B174" s="138"/>
      <c r="C174" s="138"/>
      <c r="D174" s="138"/>
      <c r="E174" s="138"/>
      <c r="F174" s="138"/>
      <c r="G174" s="138"/>
      <c r="H174" s="138"/>
      <c r="I174" s="138"/>
      <c r="J174" s="138"/>
      <c r="K174" s="138"/>
      <c r="M174">
        <v>154</v>
      </c>
      <c r="N174" t="s">
        <v>89</v>
      </c>
      <c r="O174" t="s">
        <v>105</v>
      </c>
      <c r="P174" t="s">
        <v>82</v>
      </c>
      <c r="Q174" t="s">
        <v>96</v>
      </c>
      <c r="R174" t="s">
        <v>125</v>
      </c>
      <c r="S174" t="s">
        <v>111</v>
      </c>
      <c r="T174" t="s">
        <v>131</v>
      </c>
      <c r="U174" t="s">
        <v>156</v>
      </c>
      <c r="V174" t="s">
        <v>337</v>
      </c>
    </row>
    <row r="175" spans="1:22" x14ac:dyDescent="0.25">
      <c r="B175" s="2" t="s">
        <v>66</v>
      </c>
      <c r="C175" s="2" t="s">
        <v>169</v>
      </c>
      <c r="D175" s="2" t="s">
        <v>170</v>
      </c>
      <c r="E175" s="2" t="s">
        <v>171</v>
      </c>
      <c r="M175">
        <v>155</v>
      </c>
      <c r="N175" t="s">
        <v>89</v>
      </c>
      <c r="O175" t="s">
        <v>138</v>
      </c>
      <c r="P175" t="s">
        <v>82</v>
      </c>
      <c r="Q175" t="s">
        <v>96</v>
      </c>
      <c r="R175" t="s">
        <v>125</v>
      </c>
      <c r="S175" t="s">
        <v>111</v>
      </c>
      <c r="T175" t="s">
        <v>105</v>
      </c>
      <c r="U175" t="s">
        <v>131</v>
      </c>
      <c r="V175" t="s">
        <v>338</v>
      </c>
    </row>
    <row r="176" spans="1:22" x14ac:dyDescent="0.25">
      <c r="B176" s="1">
        <f>IF(Quiniela!E105="",0,IF(Quiniela!E105&gt;Quiniela!I105,Quiniela!D105,IF(Quiniela!I105&gt;Quiniela!E105,Quiniela!G105,"X")))</f>
        <v>0</v>
      </c>
      <c r="C176" s="1">
        <f>IF(Quiniela!E105="",0,IF(B176="X",0,IF(B176=Quiniela!D105,Quiniela!G105,Quiniela!D105)))</f>
        <v>0</v>
      </c>
      <c r="D176" s="1">
        <f>IF(B176="X",Quiniela!D105,0)</f>
        <v>0</v>
      </c>
      <c r="E176" s="1">
        <f>IF(B176="X",Quiniela!G105,0)</f>
        <v>0</v>
      </c>
      <c r="M176">
        <v>156</v>
      </c>
      <c r="N176" t="s">
        <v>89</v>
      </c>
      <c r="O176" t="s">
        <v>119</v>
      </c>
      <c r="P176" t="s">
        <v>82</v>
      </c>
      <c r="Q176" t="s">
        <v>96</v>
      </c>
      <c r="R176" t="s">
        <v>105</v>
      </c>
      <c r="S176" t="s">
        <v>111</v>
      </c>
      <c r="T176" t="s">
        <v>160</v>
      </c>
      <c r="U176" t="s">
        <v>156</v>
      </c>
      <c r="V176" t="s">
        <v>339</v>
      </c>
    </row>
    <row r="177" spans="1:22" x14ac:dyDescent="0.25">
      <c r="B177" s="1">
        <f>IF(Quiniela!E106="",0,IF(Quiniela!E106&gt;Quiniela!I106,Quiniela!D106,IF(Quiniela!I106&gt;Quiniela!E106,Quiniela!G106,"X")))</f>
        <v>0</v>
      </c>
      <c r="C177" s="1">
        <f>IF(Quiniela!E106="",0,IF(B177="X",0,IF(B177=Quiniela!D106,Quiniela!G106,Quiniela!D106)))</f>
        <v>0</v>
      </c>
      <c r="D177" s="1">
        <f>IF(B177="X",Quiniela!D106,0)</f>
        <v>0</v>
      </c>
      <c r="E177" s="1">
        <f>IF(B177="X",Quiniela!G106,0)</f>
        <v>0</v>
      </c>
      <c r="M177">
        <v>157</v>
      </c>
      <c r="N177" t="s">
        <v>89</v>
      </c>
      <c r="O177" t="s">
        <v>119</v>
      </c>
      <c r="P177" t="s">
        <v>82</v>
      </c>
      <c r="Q177" t="s">
        <v>96</v>
      </c>
      <c r="R177" t="s">
        <v>138</v>
      </c>
      <c r="S177" t="s">
        <v>111</v>
      </c>
      <c r="T177" t="s">
        <v>160</v>
      </c>
      <c r="U177" t="s">
        <v>105</v>
      </c>
      <c r="V177" t="s">
        <v>340</v>
      </c>
    </row>
    <row r="178" spans="1:22" x14ac:dyDescent="0.25">
      <c r="B178" s="1">
        <f>IF(Quiniela!E107="",0,IF(Quiniela!E107&gt;Quiniela!I107,Quiniela!D107,IF(Quiniela!I107&gt;Quiniela!E107,Quiniela!G107,"X")))</f>
        <v>0</v>
      </c>
      <c r="C178" s="1">
        <f>IF(Quiniela!E107="",0,IF(B178="X",0,IF(B178=Quiniela!D107,Quiniela!G107,Quiniela!D107)))</f>
        <v>0</v>
      </c>
      <c r="D178" s="1">
        <f>IF(B178="X",Quiniela!D107,0)</f>
        <v>0</v>
      </c>
      <c r="E178" s="1">
        <f>IF(B178="X",Quiniela!G107,0)</f>
        <v>0</v>
      </c>
      <c r="M178">
        <v>158</v>
      </c>
      <c r="N178" t="s">
        <v>89</v>
      </c>
      <c r="O178" t="s">
        <v>119</v>
      </c>
      <c r="P178" t="s">
        <v>82</v>
      </c>
      <c r="Q178" t="s">
        <v>96</v>
      </c>
      <c r="R178" t="s">
        <v>138</v>
      </c>
      <c r="S178" t="s">
        <v>111</v>
      </c>
      <c r="T178" t="s">
        <v>105</v>
      </c>
      <c r="U178" t="s">
        <v>156</v>
      </c>
      <c r="V178" t="s">
        <v>341</v>
      </c>
    </row>
    <row r="179" spans="1:22" x14ac:dyDescent="0.25">
      <c r="B179" s="1">
        <f>IF(Quiniela!E108="",0,IF(Quiniela!E108&gt;Quiniela!I108,Quiniela!D108,IF(Quiniela!I108&gt;Quiniela!E108,Quiniela!G108,"X")))</f>
        <v>0</v>
      </c>
      <c r="C179" s="1">
        <f>IF(Quiniela!E108="",0,IF(B179="X",0,IF(B179=Quiniela!D108,Quiniela!G108,Quiniela!D108)))</f>
        <v>0</v>
      </c>
      <c r="D179" s="1">
        <f>IF(B179="X",Quiniela!D108,0)</f>
        <v>0</v>
      </c>
      <c r="E179" s="1">
        <f>IF(B179="X",Quiniela!G108,0)</f>
        <v>0</v>
      </c>
      <c r="M179">
        <v>159</v>
      </c>
      <c r="N179" t="s">
        <v>89</v>
      </c>
      <c r="O179" t="s">
        <v>119</v>
      </c>
      <c r="P179" t="s">
        <v>82</v>
      </c>
      <c r="Q179" t="s">
        <v>96</v>
      </c>
      <c r="R179" t="s">
        <v>105</v>
      </c>
      <c r="S179" t="s">
        <v>111</v>
      </c>
      <c r="T179" t="s">
        <v>160</v>
      </c>
      <c r="U179" t="s">
        <v>131</v>
      </c>
      <c r="V179" t="s">
        <v>342</v>
      </c>
    </row>
    <row r="180" spans="1:22" x14ac:dyDescent="0.25">
      <c r="B180" s="1">
        <f>IF(Quiniela!E109="",0,IF(Quiniela!E109&gt;Quiniela!I109,Quiniela!D109,IF(Quiniela!I109&gt;Quiniela!E109,Quiniela!G109,"X")))</f>
        <v>0</v>
      </c>
      <c r="C180" s="1">
        <f>IF(Quiniela!E109="",0,IF(B180="X",0,IF(B180=Quiniela!D109,Quiniela!G109,Quiniela!D109)))</f>
        <v>0</v>
      </c>
      <c r="D180" s="1">
        <f>IF(B180="X",Quiniela!D109,0)</f>
        <v>0</v>
      </c>
      <c r="E180" s="1">
        <f>IF(B180="X",Quiniela!G109,0)</f>
        <v>0</v>
      </c>
      <c r="M180">
        <v>160</v>
      </c>
      <c r="N180" t="s">
        <v>89</v>
      </c>
      <c r="O180" t="s">
        <v>119</v>
      </c>
      <c r="P180" t="s">
        <v>82</v>
      </c>
      <c r="Q180" t="s">
        <v>96</v>
      </c>
      <c r="R180" t="s">
        <v>105</v>
      </c>
      <c r="S180" t="s">
        <v>111</v>
      </c>
      <c r="T180" t="s">
        <v>131</v>
      </c>
      <c r="U180" t="s">
        <v>156</v>
      </c>
      <c r="V180" t="s">
        <v>343</v>
      </c>
    </row>
    <row r="181" spans="1:22" x14ac:dyDescent="0.25">
      <c r="B181" s="1">
        <f>IF(Quiniela!E110="",0,IF(Quiniela!E110&gt;Quiniela!I110,Quiniela!D110,IF(Quiniela!I110&gt;Quiniela!E110,Quiniela!G110,"X")))</f>
        <v>0</v>
      </c>
      <c r="C181" s="1">
        <f>IF(Quiniela!E110="",0,IF(B181="X",0,IF(B181=Quiniela!D110,Quiniela!G110,Quiniela!D110)))</f>
        <v>0</v>
      </c>
      <c r="D181" s="1">
        <f>IF(B181="X",Quiniela!D110,0)</f>
        <v>0</v>
      </c>
      <c r="E181" s="1">
        <f>IF(B181="X",Quiniela!G110,0)</f>
        <v>0</v>
      </c>
      <c r="M181">
        <v>161</v>
      </c>
      <c r="N181" t="s">
        <v>89</v>
      </c>
      <c r="O181" t="s">
        <v>119</v>
      </c>
      <c r="P181" t="s">
        <v>82</v>
      </c>
      <c r="Q181" t="s">
        <v>96</v>
      </c>
      <c r="R181" t="s">
        <v>138</v>
      </c>
      <c r="S181" t="s">
        <v>111</v>
      </c>
      <c r="T181" t="s">
        <v>105</v>
      </c>
      <c r="U181" t="s">
        <v>131</v>
      </c>
      <c r="V181" t="s">
        <v>344</v>
      </c>
    </row>
    <row r="182" spans="1:22" x14ac:dyDescent="0.25">
      <c r="M182">
        <v>162</v>
      </c>
      <c r="N182" t="s">
        <v>89</v>
      </c>
      <c r="O182" t="s">
        <v>119</v>
      </c>
      <c r="P182" t="s">
        <v>82</v>
      </c>
      <c r="Q182" t="s">
        <v>96</v>
      </c>
      <c r="R182" t="s">
        <v>125</v>
      </c>
      <c r="S182" t="s">
        <v>111</v>
      </c>
      <c r="T182" t="s">
        <v>160</v>
      </c>
      <c r="U182" t="s">
        <v>105</v>
      </c>
      <c r="V182" t="s">
        <v>345</v>
      </c>
    </row>
    <row r="183" spans="1:22" x14ac:dyDescent="0.25">
      <c r="A183" s="3" t="s">
        <v>13</v>
      </c>
      <c r="B183" s="3" t="s">
        <v>14</v>
      </c>
      <c r="C183" s="3" t="s">
        <v>15</v>
      </c>
      <c r="D183" s="3" t="s">
        <v>16</v>
      </c>
      <c r="E183" s="3" t="s">
        <v>17</v>
      </c>
      <c r="F183" s="3" t="s">
        <v>18</v>
      </c>
      <c r="G183" s="3" t="s">
        <v>59</v>
      </c>
      <c r="H183" s="3" t="s">
        <v>180</v>
      </c>
      <c r="I183" s="3" t="s">
        <v>19</v>
      </c>
      <c r="J183" s="3" t="s">
        <v>60</v>
      </c>
      <c r="K183" s="3" t="s">
        <v>12</v>
      </c>
      <c r="M183">
        <v>163</v>
      </c>
      <c r="N183" t="s">
        <v>89</v>
      </c>
      <c r="O183" t="s">
        <v>119</v>
      </c>
      <c r="P183" t="s">
        <v>82</v>
      </c>
      <c r="Q183" t="s">
        <v>96</v>
      </c>
      <c r="R183" t="s">
        <v>125</v>
      </c>
      <c r="S183" t="s">
        <v>111</v>
      </c>
      <c r="T183" t="s">
        <v>105</v>
      </c>
      <c r="U183" t="s">
        <v>156</v>
      </c>
      <c r="V183" t="s">
        <v>346</v>
      </c>
    </row>
    <row r="184" spans="1:22" x14ac:dyDescent="0.25">
      <c r="A184" s="1" t="str">
        <f>B15</f>
        <v>INGLATERRA</v>
      </c>
      <c r="B184" s="1">
        <f>SUMPRODUCT((Quiniela!D105:D110=A184)*(Quiniela!E105:E110&lt;&gt;""))+SUMPRODUCT((Quiniela!G105:G110=A184)*(Quiniela!I105:I110&lt;&gt;""))</f>
        <v>0</v>
      </c>
      <c r="C184" s="1">
        <f>SUMPRODUCT(((Quiniela!D105:D110=A184)*(Quiniela!E105:E110&gt;Quiniela!I105:I110))+((Quiniela!G105:G110=A184)*(Quiniela!I105:I110&gt;Quiniela!E105:E110)))</f>
        <v>0</v>
      </c>
      <c r="D184" s="1">
        <f>SUMPRODUCT(((Quiniela!D105:D110=A184)*(Quiniela!E105:E110&lt;Quiniela!I105:I110))+((Quiniela!G105:G110=A184)*(Quiniela!I105:I110&lt;Quiniela!E105:E110)))</f>
        <v>0</v>
      </c>
      <c r="E184" s="1">
        <f>SUMPRODUCT(((Quiniela!D105:D110=A184)*(Quiniela!E105:E110=Quiniela!I105:I110)*(Quiniela!E105:E110&lt;&gt;""))+((Quiniela!G105:G110=A184)*(Quiniela!I105:I110=Quiniela!E105:E110)*(Quiniela!I105:I110&lt;&gt;"")))</f>
        <v>0</v>
      </c>
      <c r="F184" s="1">
        <f>C184*3+E184</f>
        <v>0</v>
      </c>
      <c r="G184" s="1">
        <f>SUMIF(Quiniela!$D$105:$D$110,A184,Quiniela!$E$105:$E$110)+SUMIF(Quiniela!$G$105:$G$110,A184,Quiniela!$I$105:$I$110)</f>
        <v>0</v>
      </c>
      <c r="H184" s="1">
        <f>SUMIF(Quiniela!$D$105:$D$110,A184,Quiniela!$I$105:$I$110)+SUMIF(Quiniela!$G$105:$G$110,A184,Quiniela!$E$105:$E$110)</f>
        <v>0</v>
      </c>
      <c r="I184" s="1">
        <f>G184-H184</f>
        <v>0</v>
      </c>
      <c r="J184" s="1">
        <f>F184+I184/100+G184/10000+0.0000004</f>
        <v>3.9999999999999998E-7</v>
      </c>
      <c r="K184" s="1">
        <f>RANK(J184,$J$184:$J$187,0)</f>
        <v>1</v>
      </c>
      <c r="M184">
        <v>164</v>
      </c>
      <c r="N184" t="s">
        <v>125</v>
      </c>
      <c r="O184" t="s">
        <v>119</v>
      </c>
      <c r="P184" t="s">
        <v>82</v>
      </c>
      <c r="Q184" t="s">
        <v>89</v>
      </c>
      <c r="R184" t="s">
        <v>138</v>
      </c>
      <c r="S184" t="s">
        <v>111</v>
      </c>
      <c r="T184" t="s">
        <v>96</v>
      </c>
      <c r="U184" t="s">
        <v>105</v>
      </c>
      <c r="V184" t="s">
        <v>347</v>
      </c>
    </row>
    <row r="185" spans="1:22" x14ac:dyDescent="0.25">
      <c r="A185" s="1" t="str">
        <f>C15</f>
        <v>CROACIA</v>
      </c>
      <c r="B185" s="1">
        <f>SUMPRODUCT((Quiniela!D105:D110=A185)*(Quiniela!E105:E110&lt;&gt;""))+SUMPRODUCT((Quiniela!G105:G110=A185)*(Quiniela!I105:I110&lt;&gt;""))</f>
        <v>0</v>
      </c>
      <c r="C185" s="1">
        <f>SUMPRODUCT(((Quiniela!D105:D110=A185)*(Quiniela!E105:E110&gt;Quiniela!I105:I110))+((Quiniela!G105:G110=A185)*(Quiniela!I105:I110&gt;Quiniela!E105:E110)))</f>
        <v>0</v>
      </c>
      <c r="D185" s="1">
        <f>SUMPRODUCT(((Quiniela!D105:D110=A185)*(Quiniela!E105:E110&lt;Quiniela!I105:I110))+((Quiniela!G105:G110=A185)*(Quiniela!I105:I110&lt;Quiniela!E105:E110)))</f>
        <v>0</v>
      </c>
      <c r="E185" s="1">
        <f>SUMPRODUCT(((Quiniela!D105:D110=A185)*(Quiniela!E105:E110=Quiniela!I105:I110)*(Quiniela!E105:E110&lt;&gt;""))+((Quiniela!G105:G110=A185)*(Quiniela!I105:I110=Quiniela!E105:E110)*(Quiniela!I105:I110&lt;&gt;"")))</f>
        <v>0</v>
      </c>
      <c r="F185" s="1">
        <f>C185*3+E185</f>
        <v>0</v>
      </c>
      <c r="G185" s="1">
        <f>SUMIF(Quiniela!$D$105:$D$110,A185,Quiniela!$E$105:$E$110)+SUMIF(Quiniela!$G$105:$G$110,A185,Quiniela!$I$105:$I$110)</f>
        <v>0</v>
      </c>
      <c r="H185" s="1">
        <f>SUMIF(Quiniela!$D$105:$D$110,A185,Quiniela!$I$105:$I$110)+SUMIF(Quiniela!$G$105:$G$110,A185,Quiniela!$E$105:$E$110)</f>
        <v>0</v>
      </c>
      <c r="I185" s="1">
        <f>G185-H185</f>
        <v>0</v>
      </c>
      <c r="J185" s="1">
        <f>F185+I185/100+G185/10000+0.0000003</f>
        <v>2.9999999999999999E-7</v>
      </c>
      <c r="K185" s="1">
        <f>RANK(J185,$J$184:$J$187,0)</f>
        <v>2</v>
      </c>
      <c r="M185">
        <v>165</v>
      </c>
      <c r="N185" t="s">
        <v>89</v>
      </c>
      <c r="O185" t="s">
        <v>119</v>
      </c>
      <c r="P185" t="s">
        <v>82</v>
      </c>
      <c r="Q185" t="s">
        <v>96</v>
      </c>
      <c r="R185" t="s">
        <v>125</v>
      </c>
      <c r="S185" t="s">
        <v>111</v>
      </c>
      <c r="T185" t="s">
        <v>105</v>
      </c>
      <c r="U185" t="s">
        <v>131</v>
      </c>
      <c r="V185" t="s">
        <v>348</v>
      </c>
    </row>
    <row r="186" spans="1:22" x14ac:dyDescent="0.25">
      <c r="A186" s="1" t="str">
        <f>D15</f>
        <v>GHANA</v>
      </c>
      <c r="B186" s="1">
        <f>SUMPRODUCT((Quiniela!D105:D110=A186)*(Quiniela!E105:E110&lt;&gt;""))+SUMPRODUCT((Quiniela!G105:G110=A186)*(Quiniela!I105:I110&lt;&gt;""))</f>
        <v>0</v>
      </c>
      <c r="C186" s="1">
        <f>SUMPRODUCT(((Quiniela!D105:D110=A186)*(Quiniela!E105:E110&gt;Quiniela!I105:I110))+((Quiniela!G105:G110=A186)*(Quiniela!I105:I110&gt;Quiniela!E105:E110)))</f>
        <v>0</v>
      </c>
      <c r="D186" s="1">
        <f>SUMPRODUCT(((Quiniela!D105:D110=A186)*(Quiniela!E105:E110&lt;Quiniela!I105:I110))+((Quiniela!G105:G110=A186)*(Quiniela!I105:I110&lt;Quiniela!E105:E110)))</f>
        <v>0</v>
      </c>
      <c r="E186" s="1">
        <f>SUMPRODUCT(((Quiniela!D105:D110=A186)*(Quiniela!E105:E110=Quiniela!I105:I110)*(Quiniela!E105:E110&lt;&gt;""))+((Quiniela!G105:G110=A186)*(Quiniela!I105:I110=Quiniela!E105:E110)*(Quiniela!I105:I110&lt;&gt;"")))</f>
        <v>0</v>
      </c>
      <c r="F186" s="1">
        <f>C186*3+E186</f>
        <v>0</v>
      </c>
      <c r="G186" s="1">
        <f>SUMIF(Quiniela!$D$105:$D$110,A186,Quiniela!$E$105:$E$110)+SUMIF(Quiniela!$G$105:$G$110,A186,Quiniela!$I$105:$I$110)</f>
        <v>0</v>
      </c>
      <c r="H186" s="1">
        <f>SUMIF(Quiniela!$D$105:$D$110,A186,Quiniela!$I$105:$I$110)+SUMIF(Quiniela!$G$105:$G$110,A186,Quiniela!$E$105:$E$110)</f>
        <v>0</v>
      </c>
      <c r="I186" s="1">
        <f>G186-H186</f>
        <v>0</v>
      </c>
      <c r="J186" s="1">
        <f>F186+I186/100+G186/10000+0.0000002</f>
        <v>1.9999999999999999E-7</v>
      </c>
      <c r="K186" s="1">
        <f>RANK(J186,$J$184:$J$187,0)</f>
        <v>3</v>
      </c>
      <c r="M186">
        <v>166</v>
      </c>
      <c r="N186" t="s">
        <v>125</v>
      </c>
      <c r="O186" t="s">
        <v>138</v>
      </c>
      <c r="P186" t="s">
        <v>131</v>
      </c>
      <c r="Q186" t="s">
        <v>111</v>
      </c>
      <c r="R186" t="s">
        <v>73</v>
      </c>
      <c r="S186" t="s">
        <v>119</v>
      </c>
      <c r="T186" t="s">
        <v>160</v>
      </c>
      <c r="U186" t="s">
        <v>156</v>
      </c>
      <c r="V186" t="s">
        <v>349</v>
      </c>
    </row>
    <row r="187" spans="1:22" x14ac:dyDescent="0.25">
      <c r="A187" s="1" t="str">
        <f>E15</f>
        <v>PANAMA</v>
      </c>
      <c r="B187" s="1">
        <f>SUMPRODUCT((Quiniela!D105:D110=A187)*(Quiniela!E105:E110&lt;&gt;""))+SUMPRODUCT((Quiniela!G105:G110=A187)*(Quiniela!I105:I110&lt;&gt;""))</f>
        <v>0</v>
      </c>
      <c r="C187" s="1">
        <f>SUMPRODUCT(((Quiniela!D105:D110=A187)*(Quiniela!E105:E110&gt;Quiniela!I105:I110))+((Quiniela!G105:G110=A187)*(Quiniela!I105:I110&gt;Quiniela!E105:E110)))</f>
        <v>0</v>
      </c>
      <c r="D187" s="1">
        <f>SUMPRODUCT(((Quiniela!D105:D110=A187)*(Quiniela!E105:E110&lt;Quiniela!I105:I110))+((Quiniela!G105:G110=A187)*(Quiniela!I105:I110&lt;Quiniela!E105:E110)))</f>
        <v>0</v>
      </c>
      <c r="E187" s="1">
        <f>SUMPRODUCT(((Quiniela!D105:D110=A187)*(Quiniela!E105:E110=Quiniela!I105:I110)*(Quiniela!E105:E110&lt;&gt;""))+((Quiniela!G105:G110=A187)*(Quiniela!I105:I110=Quiniela!E105:E110)*(Quiniela!I105:I110&lt;&gt;"")))</f>
        <v>0</v>
      </c>
      <c r="F187" s="1">
        <f>C187*3+E187</f>
        <v>0</v>
      </c>
      <c r="G187" s="1">
        <f>SUMIF(Quiniela!$D$105:$D$110,A187,Quiniela!$E$105:$E$110)+SUMIF(Quiniela!$G$105:$G$110,A187,Quiniela!$I$105:$I$110)</f>
        <v>0</v>
      </c>
      <c r="H187" s="1">
        <f>SUMIF(Quiniela!$D$105:$D$110,A187,Quiniela!$I$105:$I$110)+SUMIF(Quiniela!$G$105:$G$110,A187,Quiniela!$E$105:$E$110)</f>
        <v>0</v>
      </c>
      <c r="I187" s="1">
        <f>G187-H187</f>
        <v>0</v>
      </c>
      <c r="J187" s="1">
        <f>F187+I187/100+G187/10000+0.0000001</f>
        <v>9.9999999999999995E-8</v>
      </c>
      <c r="K187" s="1">
        <f>RANK(J187,$J$184:$J$187,0)</f>
        <v>4</v>
      </c>
      <c r="M187">
        <v>167</v>
      </c>
      <c r="N187" t="s">
        <v>105</v>
      </c>
      <c r="O187" t="s">
        <v>138</v>
      </c>
      <c r="P187" t="s">
        <v>131</v>
      </c>
      <c r="Q187" t="s">
        <v>73</v>
      </c>
      <c r="R187" t="s">
        <v>125</v>
      </c>
      <c r="S187" t="s">
        <v>119</v>
      </c>
      <c r="T187" t="s">
        <v>160</v>
      </c>
      <c r="U187" t="s">
        <v>156</v>
      </c>
      <c r="V187" t="s">
        <v>350</v>
      </c>
    </row>
    <row r="188" spans="1:22" x14ac:dyDescent="0.25">
      <c r="M188">
        <v>168</v>
      </c>
      <c r="N188" t="s">
        <v>105</v>
      </c>
      <c r="O188" t="s">
        <v>138</v>
      </c>
      <c r="P188" t="s">
        <v>131</v>
      </c>
      <c r="Q188" t="s">
        <v>111</v>
      </c>
      <c r="R188" t="s">
        <v>73</v>
      </c>
      <c r="S188" t="s">
        <v>125</v>
      </c>
      <c r="T188" t="s">
        <v>160</v>
      </c>
      <c r="U188" t="s">
        <v>156</v>
      </c>
      <c r="V188" t="s">
        <v>351</v>
      </c>
    </row>
    <row r="189" spans="1:22" x14ac:dyDescent="0.25">
      <c r="M189">
        <v>169</v>
      </c>
      <c r="N189" t="s">
        <v>105</v>
      </c>
      <c r="O189" t="s">
        <v>138</v>
      </c>
      <c r="P189" t="s">
        <v>131</v>
      </c>
      <c r="Q189" t="s">
        <v>111</v>
      </c>
      <c r="R189" t="s">
        <v>73</v>
      </c>
      <c r="S189" t="s">
        <v>119</v>
      </c>
      <c r="T189" t="s">
        <v>160</v>
      </c>
      <c r="U189" t="s">
        <v>156</v>
      </c>
      <c r="V189" t="s">
        <v>352</v>
      </c>
    </row>
    <row r="190" spans="1:22" x14ac:dyDescent="0.25">
      <c r="M190">
        <v>170</v>
      </c>
      <c r="N190" t="s">
        <v>105</v>
      </c>
      <c r="O190" t="s">
        <v>119</v>
      </c>
      <c r="P190" t="s">
        <v>138</v>
      </c>
      <c r="Q190" t="s">
        <v>111</v>
      </c>
      <c r="R190" t="s">
        <v>73</v>
      </c>
      <c r="S190" t="s">
        <v>125</v>
      </c>
      <c r="T190" t="s">
        <v>160</v>
      </c>
      <c r="U190" t="s">
        <v>156</v>
      </c>
      <c r="V190" t="s">
        <v>353</v>
      </c>
    </row>
    <row r="191" spans="1:22" x14ac:dyDescent="0.25">
      <c r="M191">
        <v>171</v>
      </c>
      <c r="N191" t="s">
        <v>105</v>
      </c>
      <c r="O191" t="s">
        <v>119</v>
      </c>
      <c r="P191" t="s">
        <v>131</v>
      </c>
      <c r="Q191" t="s">
        <v>111</v>
      </c>
      <c r="R191" t="s">
        <v>73</v>
      </c>
      <c r="S191" t="s">
        <v>125</v>
      </c>
      <c r="T191" t="s">
        <v>160</v>
      </c>
      <c r="U191" t="s">
        <v>156</v>
      </c>
      <c r="V191" t="s">
        <v>354</v>
      </c>
    </row>
    <row r="192" spans="1:22" x14ac:dyDescent="0.25">
      <c r="M192">
        <v>172</v>
      </c>
      <c r="N192" t="s">
        <v>105</v>
      </c>
      <c r="O192" t="s">
        <v>119</v>
      </c>
      <c r="P192" t="s">
        <v>138</v>
      </c>
      <c r="Q192" t="s">
        <v>111</v>
      </c>
      <c r="R192" t="s">
        <v>73</v>
      </c>
      <c r="S192" t="s">
        <v>125</v>
      </c>
      <c r="T192" t="s">
        <v>160</v>
      </c>
      <c r="U192" t="s">
        <v>131</v>
      </c>
      <c r="V192" t="s">
        <v>355</v>
      </c>
    </row>
    <row r="193" spans="13:22" x14ac:dyDescent="0.25">
      <c r="M193">
        <v>173</v>
      </c>
      <c r="N193" t="s">
        <v>105</v>
      </c>
      <c r="O193" t="s">
        <v>119</v>
      </c>
      <c r="P193" t="s">
        <v>138</v>
      </c>
      <c r="Q193" t="s">
        <v>111</v>
      </c>
      <c r="R193" t="s">
        <v>73</v>
      </c>
      <c r="S193" t="s">
        <v>125</v>
      </c>
      <c r="T193" t="s">
        <v>131</v>
      </c>
      <c r="U193" t="s">
        <v>156</v>
      </c>
      <c r="V193" t="s">
        <v>356</v>
      </c>
    </row>
    <row r="194" spans="13:22" x14ac:dyDescent="0.25">
      <c r="M194">
        <v>174</v>
      </c>
      <c r="N194" t="s">
        <v>125</v>
      </c>
      <c r="O194" t="s">
        <v>138</v>
      </c>
      <c r="P194" t="s">
        <v>131</v>
      </c>
      <c r="Q194" t="s">
        <v>96</v>
      </c>
      <c r="R194" t="s">
        <v>73</v>
      </c>
      <c r="S194" t="s">
        <v>119</v>
      </c>
      <c r="T194" t="s">
        <v>160</v>
      </c>
      <c r="U194" t="s">
        <v>156</v>
      </c>
      <c r="V194" t="s">
        <v>357</v>
      </c>
    </row>
    <row r="195" spans="13:22" x14ac:dyDescent="0.25">
      <c r="M195">
        <v>175</v>
      </c>
      <c r="N195" t="s">
        <v>125</v>
      </c>
      <c r="O195" t="s">
        <v>138</v>
      </c>
      <c r="P195" t="s">
        <v>131</v>
      </c>
      <c r="Q195" t="s">
        <v>96</v>
      </c>
      <c r="R195" t="s">
        <v>73</v>
      </c>
      <c r="S195" t="s">
        <v>111</v>
      </c>
      <c r="T195" t="s">
        <v>160</v>
      </c>
      <c r="U195" t="s">
        <v>156</v>
      </c>
      <c r="V195" t="s">
        <v>358</v>
      </c>
    </row>
    <row r="196" spans="13:22" x14ac:dyDescent="0.25">
      <c r="M196">
        <v>176</v>
      </c>
      <c r="N196" t="s">
        <v>131</v>
      </c>
      <c r="O196" t="s">
        <v>119</v>
      </c>
      <c r="P196" t="s">
        <v>138</v>
      </c>
      <c r="Q196" t="s">
        <v>96</v>
      </c>
      <c r="R196" t="s">
        <v>73</v>
      </c>
      <c r="S196" t="s">
        <v>111</v>
      </c>
      <c r="T196" t="s">
        <v>160</v>
      </c>
      <c r="U196" t="s">
        <v>156</v>
      </c>
      <c r="V196" t="s">
        <v>359</v>
      </c>
    </row>
    <row r="197" spans="13:22" x14ac:dyDescent="0.25">
      <c r="M197">
        <v>177</v>
      </c>
      <c r="N197" t="s">
        <v>125</v>
      </c>
      <c r="O197" t="s">
        <v>119</v>
      </c>
      <c r="P197" t="s">
        <v>138</v>
      </c>
      <c r="Q197" t="s">
        <v>96</v>
      </c>
      <c r="R197" t="s">
        <v>73</v>
      </c>
      <c r="S197" t="s">
        <v>111</v>
      </c>
      <c r="T197" t="s">
        <v>160</v>
      </c>
      <c r="U197" t="s">
        <v>156</v>
      </c>
      <c r="V197" t="s">
        <v>360</v>
      </c>
    </row>
    <row r="198" spans="13:22" x14ac:dyDescent="0.25">
      <c r="M198">
        <v>178</v>
      </c>
      <c r="N198" t="s">
        <v>125</v>
      </c>
      <c r="O198" t="s">
        <v>119</v>
      </c>
      <c r="P198" t="s">
        <v>131</v>
      </c>
      <c r="Q198" t="s">
        <v>96</v>
      </c>
      <c r="R198" t="s">
        <v>73</v>
      </c>
      <c r="S198" t="s">
        <v>111</v>
      </c>
      <c r="T198" t="s">
        <v>160</v>
      </c>
      <c r="U198" t="s">
        <v>156</v>
      </c>
      <c r="V198" t="s">
        <v>361</v>
      </c>
    </row>
    <row r="199" spans="13:22" x14ac:dyDescent="0.25">
      <c r="M199">
        <v>179</v>
      </c>
      <c r="N199" t="s">
        <v>125</v>
      </c>
      <c r="O199" t="s">
        <v>119</v>
      </c>
      <c r="P199" t="s">
        <v>138</v>
      </c>
      <c r="Q199" t="s">
        <v>96</v>
      </c>
      <c r="R199" t="s">
        <v>73</v>
      </c>
      <c r="S199" t="s">
        <v>111</v>
      </c>
      <c r="T199" t="s">
        <v>160</v>
      </c>
      <c r="U199" t="s">
        <v>131</v>
      </c>
      <c r="V199" t="s">
        <v>362</v>
      </c>
    </row>
    <row r="200" spans="13:22" x14ac:dyDescent="0.25">
      <c r="M200">
        <v>180</v>
      </c>
      <c r="N200" t="s">
        <v>125</v>
      </c>
      <c r="O200" t="s">
        <v>119</v>
      </c>
      <c r="P200" t="s">
        <v>138</v>
      </c>
      <c r="Q200" t="s">
        <v>96</v>
      </c>
      <c r="R200" t="s">
        <v>73</v>
      </c>
      <c r="S200" t="s">
        <v>111</v>
      </c>
      <c r="T200" t="s">
        <v>131</v>
      </c>
      <c r="U200" t="s">
        <v>156</v>
      </c>
      <c r="V200" t="s">
        <v>363</v>
      </c>
    </row>
    <row r="201" spans="13:22" x14ac:dyDescent="0.25">
      <c r="M201">
        <v>181</v>
      </c>
      <c r="N201" t="s">
        <v>105</v>
      </c>
      <c r="O201" t="s">
        <v>138</v>
      </c>
      <c r="P201" t="s">
        <v>131</v>
      </c>
      <c r="Q201" t="s">
        <v>96</v>
      </c>
      <c r="R201" t="s">
        <v>73</v>
      </c>
      <c r="S201" t="s">
        <v>125</v>
      </c>
      <c r="T201" t="s">
        <v>160</v>
      </c>
      <c r="U201" t="s">
        <v>156</v>
      </c>
      <c r="V201" t="s">
        <v>364</v>
      </c>
    </row>
    <row r="202" spans="13:22" x14ac:dyDescent="0.25">
      <c r="M202">
        <v>182</v>
      </c>
      <c r="N202" t="s">
        <v>105</v>
      </c>
      <c r="O202" t="s">
        <v>138</v>
      </c>
      <c r="P202" t="s">
        <v>131</v>
      </c>
      <c r="Q202" t="s">
        <v>96</v>
      </c>
      <c r="R202" t="s">
        <v>73</v>
      </c>
      <c r="S202" t="s">
        <v>119</v>
      </c>
      <c r="T202" t="s">
        <v>160</v>
      </c>
      <c r="U202" t="s">
        <v>156</v>
      </c>
      <c r="V202" t="s">
        <v>365</v>
      </c>
    </row>
    <row r="203" spans="13:22" x14ac:dyDescent="0.25">
      <c r="M203">
        <v>183</v>
      </c>
      <c r="N203" t="s">
        <v>105</v>
      </c>
      <c r="O203" t="s">
        <v>119</v>
      </c>
      <c r="P203" t="s">
        <v>138</v>
      </c>
      <c r="Q203" t="s">
        <v>96</v>
      </c>
      <c r="R203" t="s">
        <v>73</v>
      </c>
      <c r="S203" t="s">
        <v>125</v>
      </c>
      <c r="T203" t="s">
        <v>160</v>
      </c>
      <c r="U203" t="s">
        <v>156</v>
      </c>
      <c r="V203" t="s">
        <v>366</v>
      </c>
    </row>
    <row r="204" spans="13:22" x14ac:dyDescent="0.25">
      <c r="M204">
        <v>184</v>
      </c>
      <c r="N204" t="s">
        <v>105</v>
      </c>
      <c r="O204" t="s">
        <v>119</v>
      </c>
      <c r="P204" t="s">
        <v>131</v>
      </c>
      <c r="Q204" t="s">
        <v>96</v>
      </c>
      <c r="R204" t="s">
        <v>73</v>
      </c>
      <c r="S204" t="s">
        <v>125</v>
      </c>
      <c r="T204" t="s">
        <v>160</v>
      </c>
      <c r="U204" t="s">
        <v>156</v>
      </c>
      <c r="V204" t="s">
        <v>367</v>
      </c>
    </row>
    <row r="205" spans="13:22" x14ac:dyDescent="0.25">
      <c r="M205">
        <v>185</v>
      </c>
      <c r="N205" t="s">
        <v>105</v>
      </c>
      <c r="O205" t="s">
        <v>119</v>
      </c>
      <c r="P205" t="s">
        <v>138</v>
      </c>
      <c r="Q205" t="s">
        <v>96</v>
      </c>
      <c r="R205" t="s">
        <v>73</v>
      </c>
      <c r="S205" t="s">
        <v>125</v>
      </c>
      <c r="T205" t="s">
        <v>160</v>
      </c>
      <c r="U205" t="s">
        <v>131</v>
      </c>
      <c r="V205" t="s">
        <v>368</v>
      </c>
    </row>
    <row r="206" spans="13:22" x14ac:dyDescent="0.25">
      <c r="M206">
        <v>186</v>
      </c>
      <c r="N206" t="s">
        <v>105</v>
      </c>
      <c r="O206" t="s">
        <v>119</v>
      </c>
      <c r="P206" t="s">
        <v>138</v>
      </c>
      <c r="Q206" t="s">
        <v>96</v>
      </c>
      <c r="R206" t="s">
        <v>73</v>
      </c>
      <c r="S206" t="s">
        <v>125</v>
      </c>
      <c r="T206" t="s">
        <v>131</v>
      </c>
      <c r="U206" t="s">
        <v>156</v>
      </c>
      <c r="V206" t="s">
        <v>369</v>
      </c>
    </row>
    <row r="207" spans="13:22" x14ac:dyDescent="0.25">
      <c r="M207">
        <v>187</v>
      </c>
      <c r="N207" t="s">
        <v>105</v>
      </c>
      <c r="O207" t="s">
        <v>138</v>
      </c>
      <c r="P207" t="s">
        <v>131</v>
      </c>
      <c r="Q207" t="s">
        <v>96</v>
      </c>
      <c r="R207" t="s">
        <v>73</v>
      </c>
      <c r="S207" t="s">
        <v>111</v>
      </c>
      <c r="T207" t="s">
        <v>160</v>
      </c>
      <c r="U207" t="s">
        <v>156</v>
      </c>
      <c r="V207" t="s">
        <v>370</v>
      </c>
    </row>
    <row r="208" spans="13:22" x14ac:dyDescent="0.25">
      <c r="M208">
        <v>188</v>
      </c>
      <c r="N208" t="s">
        <v>125</v>
      </c>
      <c r="O208" t="s">
        <v>138</v>
      </c>
      <c r="P208" t="s">
        <v>105</v>
      </c>
      <c r="Q208" t="s">
        <v>96</v>
      </c>
      <c r="R208" t="s">
        <v>73</v>
      </c>
      <c r="S208" t="s">
        <v>111</v>
      </c>
      <c r="T208" t="s">
        <v>160</v>
      </c>
      <c r="U208" t="s">
        <v>156</v>
      </c>
      <c r="V208" t="s">
        <v>371</v>
      </c>
    </row>
    <row r="209" spans="13:22" x14ac:dyDescent="0.25">
      <c r="M209">
        <v>189</v>
      </c>
      <c r="N209" t="s">
        <v>125</v>
      </c>
      <c r="O209" t="s">
        <v>105</v>
      </c>
      <c r="P209" t="s">
        <v>131</v>
      </c>
      <c r="Q209" t="s">
        <v>96</v>
      </c>
      <c r="R209" t="s">
        <v>73</v>
      </c>
      <c r="S209" t="s">
        <v>111</v>
      </c>
      <c r="T209" t="s">
        <v>160</v>
      </c>
      <c r="U209" t="s">
        <v>156</v>
      </c>
      <c r="V209" t="s">
        <v>372</v>
      </c>
    </row>
    <row r="210" spans="13:22" x14ac:dyDescent="0.25">
      <c r="M210">
        <v>190</v>
      </c>
      <c r="N210" t="s">
        <v>125</v>
      </c>
      <c r="O210" t="s">
        <v>138</v>
      </c>
      <c r="P210" t="s">
        <v>105</v>
      </c>
      <c r="Q210" t="s">
        <v>96</v>
      </c>
      <c r="R210" t="s">
        <v>73</v>
      </c>
      <c r="S210" t="s">
        <v>111</v>
      </c>
      <c r="T210" t="s">
        <v>160</v>
      </c>
      <c r="U210" t="s">
        <v>131</v>
      </c>
      <c r="V210" t="s">
        <v>373</v>
      </c>
    </row>
    <row r="211" spans="13:22" x14ac:dyDescent="0.25">
      <c r="M211">
        <v>191</v>
      </c>
      <c r="N211" t="s">
        <v>125</v>
      </c>
      <c r="O211" t="s">
        <v>138</v>
      </c>
      <c r="P211" t="s">
        <v>105</v>
      </c>
      <c r="Q211" t="s">
        <v>96</v>
      </c>
      <c r="R211" t="s">
        <v>73</v>
      </c>
      <c r="S211" t="s">
        <v>111</v>
      </c>
      <c r="T211" t="s">
        <v>131</v>
      </c>
      <c r="U211" t="s">
        <v>156</v>
      </c>
      <c r="V211" t="s">
        <v>374</v>
      </c>
    </row>
    <row r="212" spans="13:22" x14ac:dyDescent="0.25">
      <c r="M212">
        <v>192</v>
      </c>
      <c r="N212" t="s">
        <v>105</v>
      </c>
      <c r="O212" t="s">
        <v>119</v>
      </c>
      <c r="P212" t="s">
        <v>138</v>
      </c>
      <c r="Q212" t="s">
        <v>96</v>
      </c>
      <c r="R212" t="s">
        <v>73</v>
      </c>
      <c r="S212" t="s">
        <v>111</v>
      </c>
      <c r="T212" t="s">
        <v>160</v>
      </c>
      <c r="U212" t="s">
        <v>156</v>
      </c>
      <c r="V212" t="s">
        <v>375</v>
      </c>
    </row>
    <row r="213" spans="13:22" x14ac:dyDescent="0.25">
      <c r="M213">
        <v>193</v>
      </c>
      <c r="N213" t="s">
        <v>105</v>
      </c>
      <c r="O213" t="s">
        <v>119</v>
      </c>
      <c r="P213" t="s">
        <v>131</v>
      </c>
      <c r="Q213" t="s">
        <v>96</v>
      </c>
      <c r="R213" t="s">
        <v>73</v>
      </c>
      <c r="S213" t="s">
        <v>111</v>
      </c>
      <c r="T213" t="s">
        <v>160</v>
      </c>
      <c r="U213" t="s">
        <v>156</v>
      </c>
      <c r="V213" t="s">
        <v>376</v>
      </c>
    </row>
    <row r="214" spans="13:22" x14ac:dyDescent="0.25">
      <c r="M214">
        <v>194</v>
      </c>
      <c r="N214" t="s">
        <v>105</v>
      </c>
      <c r="O214" t="s">
        <v>119</v>
      </c>
      <c r="P214" t="s">
        <v>138</v>
      </c>
      <c r="Q214" t="s">
        <v>96</v>
      </c>
      <c r="R214" t="s">
        <v>73</v>
      </c>
      <c r="S214" t="s">
        <v>111</v>
      </c>
      <c r="T214" t="s">
        <v>160</v>
      </c>
      <c r="U214" t="s">
        <v>131</v>
      </c>
      <c r="V214" t="s">
        <v>377</v>
      </c>
    </row>
    <row r="215" spans="13:22" x14ac:dyDescent="0.25">
      <c r="M215">
        <v>195</v>
      </c>
      <c r="N215" t="s">
        <v>105</v>
      </c>
      <c r="O215" t="s">
        <v>119</v>
      </c>
      <c r="P215" t="s">
        <v>138</v>
      </c>
      <c r="Q215" t="s">
        <v>96</v>
      </c>
      <c r="R215" t="s">
        <v>73</v>
      </c>
      <c r="S215" t="s">
        <v>111</v>
      </c>
      <c r="T215" t="s">
        <v>131</v>
      </c>
      <c r="U215" t="s">
        <v>156</v>
      </c>
      <c r="V215" t="s">
        <v>378</v>
      </c>
    </row>
    <row r="216" spans="13:22" x14ac:dyDescent="0.25">
      <c r="M216">
        <v>196</v>
      </c>
      <c r="N216" t="s">
        <v>125</v>
      </c>
      <c r="O216" t="s">
        <v>119</v>
      </c>
      <c r="P216" t="s">
        <v>105</v>
      </c>
      <c r="Q216" t="s">
        <v>96</v>
      </c>
      <c r="R216" t="s">
        <v>73</v>
      </c>
      <c r="S216" t="s">
        <v>111</v>
      </c>
      <c r="T216" t="s">
        <v>160</v>
      </c>
      <c r="U216" t="s">
        <v>156</v>
      </c>
      <c r="V216" t="s">
        <v>379</v>
      </c>
    </row>
    <row r="217" spans="13:22" x14ac:dyDescent="0.25">
      <c r="M217">
        <v>197</v>
      </c>
      <c r="N217" t="s">
        <v>125</v>
      </c>
      <c r="O217" t="s">
        <v>119</v>
      </c>
      <c r="P217" t="s">
        <v>138</v>
      </c>
      <c r="Q217" t="s">
        <v>96</v>
      </c>
      <c r="R217" t="s">
        <v>73</v>
      </c>
      <c r="S217" t="s">
        <v>111</v>
      </c>
      <c r="T217" t="s">
        <v>160</v>
      </c>
      <c r="U217" t="s">
        <v>105</v>
      </c>
      <c r="V217" t="s">
        <v>380</v>
      </c>
    </row>
    <row r="218" spans="13:22" x14ac:dyDescent="0.25">
      <c r="M218">
        <v>198</v>
      </c>
      <c r="N218" t="s">
        <v>125</v>
      </c>
      <c r="O218" t="s">
        <v>119</v>
      </c>
      <c r="P218" t="s">
        <v>138</v>
      </c>
      <c r="Q218" t="s">
        <v>96</v>
      </c>
      <c r="R218" t="s">
        <v>73</v>
      </c>
      <c r="S218" t="s">
        <v>111</v>
      </c>
      <c r="T218" t="s">
        <v>105</v>
      </c>
      <c r="U218" t="s">
        <v>156</v>
      </c>
      <c r="V218" t="s">
        <v>381</v>
      </c>
    </row>
    <row r="219" spans="13:22" x14ac:dyDescent="0.25">
      <c r="M219">
        <v>199</v>
      </c>
      <c r="N219" t="s">
        <v>125</v>
      </c>
      <c r="O219" t="s">
        <v>119</v>
      </c>
      <c r="P219" t="s">
        <v>105</v>
      </c>
      <c r="Q219" t="s">
        <v>96</v>
      </c>
      <c r="R219" t="s">
        <v>73</v>
      </c>
      <c r="S219" t="s">
        <v>111</v>
      </c>
      <c r="T219" t="s">
        <v>160</v>
      </c>
      <c r="U219" t="s">
        <v>131</v>
      </c>
      <c r="V219" t="s">
        <v>382</v>
      </c>
    </row>
    <row r="220" spans="13:22" x14ac:dyDescent="0.25">
      <c r="M220">
        <v>200</v>
      </c>
      <c r="N220" t="s">
        <v>125</v>
      </c>
      <c r="O220" t="s">
        <v>119</v>
      </c>
      <c r="P220" t="s">
        <v>105</v>
      </c>
      <c r="Q220" t="s">
        <v>96</v>
      </c>
      <c r="R220" t="s">
        <v>73</v>
      </c>
      <c r="S220" t="s">
        <v>111</v>
      </c>
      <c r="T220" t="s">
        <v>131</v>
      </c>
      <c r="U220" t="s">
        <v>156</v>
      </c>
      <c r="V220" t="s">
        <v>383</v>
      </c>
    </row>
    <row r="221" spans="13:22" x14ac:dyDescent="0.25">
      <c r="M221">
        <v>201</v>
      </c>
      <c r="N221" t="s">
        <v>125</v>
      </c>
      <c r="O221" t="s">
        <v>119</v>
      </c>
      <c r="P221" t="s">
        <v>138</v>
      </c>
      <c r="Q221" t="s">
        <v>96</v>
      </c>
      <c r="R221" t="s">
        <v>73</v>
      </c>
      <c r="S221" t="s">
        <v>111</v>
      </c>
      <c r="T221" t="s">
        <v>105</v>
      </c>
      <c r="U221" t="s">
        <v>131</v>
      </c>
      <c r="V221" t="s">
        <v>384</v>
      </c>
    </row>
    <row r="222" spans="13:22" x14ac:dyDescent="0.25">
      <c r="M222">
        <v>202</v>
      </c>
      <c r="N222" t="s">
        <v>125</v>
      </c>
      <c r="O222" t="s">
        <v>138</v>
      </c>
      <c r="P222" t="s">
        <v>131</v>
      </c>
      <c r="Q222" t="s">
        <v>89</v>
      </c>
      <c r="R222" t="s">
        <v>73</v>
      </c>
      <c r="S222" t="s">
        <v>119</v>
      </c>
      <c r="T222" t="s">
        <v>160</v>
      </c>
      <c r="U222" t="s">
        <v>156</v>
      </c>
      <c r="V222" t="s">
        <v>385</v>
      </c>
    </row>
    <row r="223" spans="13:22" x14ac:dyDescent="0.25">
      <c r="M223">
        <v>203</v>
      </c>
      <c r="N223" t="s">
        <v>125</v>
      </c>
      <c r="O223" t="s">
        <v>138</v>
      </c>
      <c r="P223" t="s">
        <v>131</v>
      </c>
      <c r="Q223" t="s">
        <v>89</v>
      </c>
      <c r="R223" t="s">
        <v>73</v>
      </c>
      <c r="S223" t="s">
        <v>111</v>
      </c>
      <c r="T223" t="s">
        <v>160</v>
      </c>
      <c r="U223" t="s">
        <v>156</v>
      </c>
      <c r="V223" t="s">
        <v>386</v>
      </c>
    </row>
    <row r="224" spans="13:22" x14ac:dyDescent="0.25">
      <c r="M224">
        <v>204</v>
      </c>
      <c r="N224" t="s">
        <v>131</v>
      </c>
      <c r="O224" t="s">
        <v>119</v>
      </c>
      <c r="P224" t="s">
        <v>138</v>
      </c>
      <c r="Q224" t="s">
        <v>89</v>
      </c>
      <c r="R224" t="s">
        <v>73</v>
      </c>
      <c r="S224" t="s">
        <v>111</v>
      </c>
      <c r="T224" t="s">
        <v>160</v>
      </c>
      <c r="U224" t="s">
        <v>156</v>
      </c>
      <c r="V224" t="s">
        <v>387</v>
      </c>
    </row>
    <row r="225" spans="13:22" x14ac:dyDescent="0.25">
      <c r="M225">
        <v>205</v>
      </c>
      <c r="N225" t="s">
        <v>125</v>
      </c>
      <c r="O225" t="s">
        <v>119</v>
      </c>
      <c r="P225" t="s">
        <v>138</v>
      </c>
      <c r="Q225" t="s">
        <v>89</v>
      </c>
      <c r="R225" t="s">
        <v>73</v>
      </c>
      <c r="S225" t="s">
        <v>111</v>
      </c>
      <c r="T225" t="s">
        <v>160</v>
      </c>
      <c r="U225" t="s">
        <v>156</v>
      </c>
      <c r="V225" t="s">
        <v>388</v>
      </c>
    </row>
    <row r="226" spans="13:22" x14ac:dyDescent="0.25">
      <c r="M226">
        <v>206</v>
      </c>
      <c r="N226" t="s">
        <v>125</v>
      </c>
      <c r="O226" t="s">
        <v>119</v>
      </c>
      <c r="P226" t="s">
        <v>131</v>
      </c>
      <c r="Q226" t="s">
        <v>89</v>
      </c>
      <c r="R226" t="s">
        <v>73</v>
      </c>
      <c r="S226" t="s">
        <v>111</v>
      </c>
      <c r="T226" t="s">
        <v>160</v>
      </c>
      <c r="U226" t="s">
        <v>156</v>
      </c>
      <c r="V226" t="s">
        <v>389</v>
      </c>
    </row>
    <row r="227" spans="13:22" x14ac:dyDescent="0.25">
      <c r="M227">
        <v>207</v>
      </c>
      <c r="N227" t="s">
        <v>125</v>
      </c>
      <c r="O227" t="s">
        <v>119</v>
      </c>
      <c r="P227" t="s">
        <v>138</v>
      </c>
      <c r="Q227" t="s">
        <v>89</v>
      </c>
      <c r="R227" t="s">
        <v>73</v>
      </c>
      <c r="S227" t="s">
        <v>111</v>
      </c>
      <c r="T227" t="s">
        <v>160</v>
      </c>
      <c r="U227" t="s">
        <v>131</v>
      </c>
      <c r="V227" t="s">
        <v>390</v>
      </c>
    </row>
    <row r="228" spans="13:22" x14ac:dyDescent="0.25">
      <c r="M228">
        <v>208</v>
      </c>
      <c r="N228" t="s">
        <v>125</v>
      </c>
      <c r="O228" t="s">
        <v>119</v>
      </c>
      <c r="P228" t="s">
        <v>138</v>
      </c>
      <c r="Q228" t="s">
        <v>89</v>
      </c>
      <c r="R228" t="s">
        <v>73</v>
      </c>
      <c r="S228" t="s">
        <v>111</v>
      </c>
      <c r="T228" t="s">
        <v>131</v>
      </c>
      <c r="U228" t="s">
        <v>156</v>
      </c>
      <c r="V228" t="s">
        <v>391</v>
      </c>
    </row>
    <row r="229" spans="13:22" x14ac:dyDescent="0.25">
      <c r="M229">
        <v>209</v>
      </c>
      <c r="N229" t="s">
        <v>105</v>
      </c>
      <c r="O229" t="s">
        <v>138</v>
      </c>
      <c r="P229" t="s">
        <v>131</v>
      </c>
      <c r="Q229" t="s">
        <v>89</v>
      </c>
      <c r="R229" t="s">
        <v>73</v>
      </c>
      <c r="S229" t="s">
        <v>125</v>
      </c>
      <c r="T229" t="s">
        <v>160</v>
      </c>
      <c r="U229" t="s">
        <v>156</v>
      </c>
      <c r="V229" t="s">
        <v>392</v>
      </c>
    </row>
    <row r="230" spans="13:22" x14ac:dyDescent="0.25">
      <c r="M230">
        <v>210</v>
      </c>
      <c r="N230" t="s">
        <v>105</v>
      </c>
      <c r="O230" t="s">
        <v>138</v>
      </c>
      <c r="P230" t="s">
        <v>131</v>
      </c>
      <c r="Q230" t="s">
        <v>89</v>
      </c>
      <c r="R230" t="s">
        <v>73</v>
      </c>
      <c r="S230" t="s">
        <v>119</v>
      </c>
      <c r="T230" t="s">
        <v>160</v>
      </c>
      <c r="U230" t="s">
        <v>156</v>
      </c>
      <c r="V230" t="s">
        <v>393</v>
      </c>
    </row>
    <row r="231" spans="13:22" x14ac:dyDescent="0.25">
      <c r="M231">
        <v>211</v>
      </c>
      <c r="N231" t="s">
        <v>105</v>
      </c>
      <c r="O231" t="s">
        <v>119</v>
      </c>
      <c r="P231" t="s">
        <v>138</v>
      </c>
      <c r="Q231" t="s">
        <v>89</v>
      </c>
      <c r="R231" t="s">
        <v>73</v>
      </c>
      <c r="S231" t="s">
        <v>125</v>
      </c>
      <c r="T231" t="s">
        <v>160</v>
      </c>
      <c r="U231" t="s">
        <v>156</v>
      </c>
      <c r="V231" t="s">
        <v>394</v>
      </c>
    </row>
    <row r="232" spans="13:22" x14ac:dyDescent="0.25">
      <c r="M232">
        <v>212</v>
      </c>
      <c r="N232" t="s">
        <v>105</v>
      </c>
      <c r="O232" t="s">
        <v>119</v>
      </c>
      <c r="P232" t="s">
        <v>131</v>
      </c>
      <c r="Q232" t="s">
        <v>89</v>
      </c>
      <c r="R232" t="s">
        <v>73</v>
      </c>
      <c r="S232" t="s">
        <v>125</v>
      </c>
      <c r="T232" t="s">
        <v>160</v>
      </c>
      <c r="U232" t="s">
        <v>156</v>
      </c>
      <c r="V232" t="s">
        <v>395</v>
      </c>
    </row>
    <row r="233" spans="13:22" x14ac:dyDescent="0.25">
      <c r="M233">
        <v>213</v>
      </c>
      <c r="N233" t="s">
        <v>105</v>
      </c>
      <c r="O233" t="s">
        <v>119</v>
      </c>
      <c r="P233" t="s">
        <v>138</v>
      </c>
      <c r="Q233" t="s">
        <v>89</v>
      </c>
      <c r="R233" t="s">
        <v>73</v>
      </c>
      <c r="S233" t="s">
        <v>125</v>
      </c>
      <c r="T233" t="s">
        <v>160</v>
      </c>
      <c r="U233" t="s">
        <v>131</v>
      </c>
      <c r="V233" t="s">
        <v>396</v>
      </c>
    </row>
    <row r="234" spans="13:22" x14ac:dyDescent="0.25">
      <c r="M234">
        <v>214</v>
      </c>
      <c r="N234" t="s">
        <v>105</v>
      </c>
      <c r="O234" t="s">
        <v>119</v>
      </c>
      <c r="P234" t="s">
        <v>138</v>
      </c>
      <c r="Q234" t="s">
        <v>89</v>
      </c>
      <c r="R234" t="s">
        <v>73</v>
      </c>
      <c r="S234" t="s">
        <v>125</v>
      </c>
      <c r="T234" t="s">
        <v>131</v>
      </c>
      <c r="U234" t="s">
        <v>156</v>
      </c>
      <c r="V234" t="s">
        <v>397</v>
      </c>
    </row>
    <row r="235" spans="13:22" x14ac:dyDescent="0.25">
      <c r="M235">
        <v>215</v>
      </c>
      <c r="N235" t="s">
        <v>105</v>
      </c>
      <c r="O235" t="s">
        <v>138</v>
      </c>
      <c r="P235" t="s">
        <v>131</v>
      </c>
      <c r="Q235" t="s">
        <v>89</v>
      </c>
      <c r="R235" t="s">
        <v>73</v>
      </c>
      <c r="S235" t="s">
        <v>111</v>
      </c>
      <c r="T235" t="s">
        <v>160</v>
      </c>
      <c r="U235" t="s">
        <v>156</v>
      </c>
      <c r="V235" t="s">
        <v>398</v>
      </c>
    </row>
    <row r="236" spans="13:22" x14ac:dyDescent="0.25">
      <c r="M236">
        <v>216</v>
      </c>
      <c r="N236" t="s">
        <v>125</v>
      </c>
      <c r="O236" t="s">
        <v>138</v>
      </c>
      <c r="P236" t="s">
        <v>105</v>
      </c>
      <c r="Q236" t="s">
        <v>89</v>
      </c>
      <c r="R236" t="s">
        <v>73</v>
      </c>
      <c r="S236" t="s">
        <v>111</v>
      </c>
      <c r="T236" t="s">
        <v>160</v>
      </c>
      <c r="U236" t="s">
        <v>156</v>
      </c>
      <c r="V236" t="s">
        <v>399</v>
      </c>
    </row>
    <row r="237" spans="13:22" x14ac:dyDescent="0.25">
      <c r="M237">
        <v>217</v>
      </c>
      <c r="N237" t="s">
        <v>125</v>
      </c>
      <c r="O237" t="s">
        <v>105</v>
      </c>
      <c r="P237" t="s">
        <v>131</v>
      </c>
      <c r="Q237" t="s">
        <v>89</v>
      </c>
      <c r="R237" t="s">
        <v>73</v>
      </c>
      <c r="S237" t="s">
        <v>111</v>
      </c>
      <c r="T237" t="s">
        <v>160</v>
      </c>
      <c r="U237" t="s">
        <v>156</v>
      </c>
      <c r="V237" t="s">
        <v>400</v>
      </c>
    </row>
    <row r="238" spans="13:22" x14ac:dyDescent="0.25">
      <c r="M238">
        <v>218</v>
      </c>
      <c r="N238" t="s">
        <v>125</v>
      </c>
      <c r="O238" t="s">
        <v>138</v>
      </c>
      <c r="P238" t="s">
        <v>105</v>
      </c>
      <c r="Q238" t="s">
        <v>89</v>
      </c>
      <c r="R238" t="s">
        <v>73</v>
      </c>
      <c r="S238" t="s">
        <v>111</v>
      </c>
      <c r="T238" t="s">
        <v>160</v>
      </c>
      <c r="U238" t="s">
        <v>131</v>
      </c>
      <c r="V238" t="s">
        <v>401</v>
      </c>
    </row>
    <row r="239" spans="13:22" x14ac:dyDescent="0.25">
      <c r="M239">
        <v>219</v>
      </c>
      <c r="N239" t="s">
        <v>125</v>
      </c>
      <c r="O239" t="s">
        <v>138</v>
      </c>
      <c r="P239" t="s">
        <v>105</v>
      </c>
      <c r="Q239" t="s">
        <v>89</v>
      </c>
      <c r="R239" t="s">
        <v>73</v>
      </c>
      <c r="S239" t="s">
        <v>111</v>
      </c>
      <c r="T239" t="s">
        <v>131</v>
      </c>
      <c r="U239" t="s">
        <v>156</v>
      </c>
      <c r="V239" t="s">
        <v>402</v>
      </c>
    </row>
    <row r="240" spans="13:22" x14ac:dyDescent="0.25">
      <c r="M240">
        <v>220</v>
      </c>
      <c r="N240" t="s">
        <v>105</v>
      </c>
      <c r="O240" t="s">
        <v>119</v>
      </c>
      <c r="P240" t="s">
        <v>138</v>
      </c>
      <c r="Q240" t="s">
        <v>89</v>
      </c>
      <c r="R240" t="s">
        <v>73</v>
      </c>
      <c r="S240" t="s">
        <v>111</v>
      </c>
      <c r="T240" t="s">
        <v>160</v>
      </c>
      <c r="U240" t="s">
        <v>156</v>
      </c>
      <c r="V240" t="s">
        <v>403</v>
      </c>
    </row>
    <row r="241" spans="13:22" x14ac:dyDescent="0.25">
      <c r="M241">
        <v>221</v>
      </c>
      <c r="N241" t="s">
        <v>105</v>
      </c>
      <c r="O241" t="s">
        <v>119</v>
      </c>
      <c r="P241" t="s">
        <v>131</v>
      </c>
      <c r="Q241" t="s">
        <v>89</v>
      </c>
      <c r="R241" t="s">
        <v>73</v>
      </c>
      <c r="S241" t="s">
        <v>111</v>
      </c>
      <c r="T241" t="s">
        <v>160</v>
      </c>
      <c r="U241" t="s">
        <v>156</v>
      </c>
      <c r="V241" t="s">
        <v>404</v>
      </c>
    </row>
    <row r="242" spans="13:22" x14ac:dyDescent="0.25">
      <c r="M242">
        <v>222</v>
      </c>
      <c r="N242" t="s">
        <v>105</v>
      </c>
      <c r="O242" t="s">
        <v>119</v>
      </c>
      <c r="P242" t="s">
        <v>138</v>
      </c>
      <c r="Q242" t="s">
        <v>89</v>
      </c>
      <c r="R242" t="s">
        <v>73</v>
      </c>
      <c r="S242" t="s">
        <v>111</v>
      </c>
      <c r="T242" t="s">
        <v>160</v>
      </c>
      <c r="U242" t="s">
        <v>131</v>
      </c>
      <c r="V242" t="s">
        <v>405</v>
      </c>
    </row>
    <row r="243" spans="13:22" x14ac:dyDescent="0.25">
      <c r="M243">
        <v>223</v>
      </c>
      <c r="N243" t="s">
        <v>105</v>
      </c>
      <c r="O243" t="s">
        <v>119</v>
      </c>
      <c r="P243" t="s">
        <v>138</v>
      </c>
      <c r="Q243" t="s">
        <v>89</v>
      </c>
      <c r="R243" t="s">
        <v>73</v>
      </c>
      <c r="S243" t="s">
        <v>111</v>
      </c>
      <c r="T243" t="s">
        <v>131</v>
      </c>
      <c r="U243" t="s">
        <v>156</v>
      </c>
      <c r="V243" t="s">
        <v>406</v>
      </c>
    </row>
    <row r="244" spans="13:22" x14ac:dyDescent="0.25">
      <c r="M244">
        <v>224</v>
      </c>
      <c r="N244" t="s">
        <v>125</v>
      </c>
      <c r="O244" t="s">
        <v>119</v>
      </c>
      <c r="P244" t="s">
        <v>105</v>
      </c>
      <c r="Q244" t="s">
        <v>89</v>
      </c>
      <c r="R244" t="s">
        <v>73</v>
      </c>
      <c r="S244" t="s">
        <v>111</v>
      </c>
      <c r="T244" t="s">
        <v>160</v>
      </c>
      <c r="U244" t="s">
        <v>156</v>
      </c>
      <c r="V244" t="s">
        <v>407</v>
      </c>
    </row>
    <row r="245" spans="13:22" x14ac:dyDescent="0.25">
      <c r="M245">
        <v>225</v>
      </c>
      <c r="N245" t="s">
        <v>125</v>
      </c>
      <c r="O245" t="s">
        <v>119</v>
      </c>
      <c r="P245" t="s">
        <v>138</v>
      </c>
      <c r="Q245" t="s">
        <v>89</v>
      </c>
      <c r="R245" t="s">
        <v>73</v>
      </c>
      <c r="S245" t="s">
        <v>111</v>
      </c>
      <c r="T245" t="s">
        <v>160</v>
      </c>
      <c r="U245" t="s">
        <v>105</v>
      </c>
      <c r="V245" t="s">
        <v>408</v>
      </c>
    </row>
    <row r="246" spans="13:22" x14ac:dyDescent="0.25">
      <c r="M246">
        <v>226</v>
      </c>
      <c r="N246" t="s">
        <v>125</v>
      </c>
      <c r="O246" t="s">
        <v>119</v>
      </c>
      <c r="P246" t="s">
        <v>138</v>
      </c>
      <c r="Q246" t="s">
        <v>89</v>
      </c>
      <c r="R246" t="s">
        <v>73</v>
      </c>
      <c r="S246" t="s">
        <v>111</v>
      </c>
      <c r="T246" t="s">
        <v>105</v>
      </c>
      <c r="U246" t="s">
        <v>156</v>
      </c>
      <c r="V246" t="s">
        <v>409</v>
      </c>
    </row>
    <row r="247" spans="13:22" x14ac:dyDescent="0.25">
      <c r="M247">
        <v>227</v>
      </c>
      <c r="N247" t="s">
        <v>125</v>
      </c>
      <c r="O247" t="s">
        <v>119</v>
      </c>
      <c r="P247" t="s">
        <v>105</v>
      </c>
      <c r="Q247" t="s">
        <v>89</v>
      </c>
      <c r="R247" t="s">
        <v>73</v>
      </c>
      <c r="S247" t="s">
        <v>111</v>
      </c>
      <c r="T247" t="s">
        <v>160</v>
      </c>
      <c r="U247" t="s">
        <v>131</v>
      </c>
      <c r="V247" t="s">
        <v>410</v>
      </c>
    </row>
    <row r="248" spans="13:22" x14ac:dyDescent="0.25">
      <c r="M248">
        <v>228</v>
      </c>
      <c r="N248" t="s">
        <v>125</v>
      </c>
      <c r="O248" t="s">
        <v>119</v>
      </c>
      <c r="P248" t="s">
        <v>105</v>
      </c>
      <c r="Q248" t="s">
        <v>89</v>
      </c>
      <c r="R248" t="s">
        <v>73</v>
      </c>
      <c r="S248" t="s">
        <v>111</v>
      </c>
      <c r="T248" t="s">
        <v>131</v>
      </c>
      <c r="U248" t="s">
        <v>156</v>
      </c>
      <c r="V248" t="s">
        <v>411</v>
      </c>
    </row>
    <row r="249" spans="13:22" x14ac:dyDescent="0.25">
      <c r="M249">
        <v>229</v>
      </c>
      <c r="N249" t="s">
        <v>125</v>
      </c>
      <c r="O249" t="s">
        <v>119</v>
      </c>
      <c r="P249" t="s">
        <v>138</v>
      </c>
      <c r="Q249" t="s">
        <v>89</v>
      </c>
      <c r="R249" t="s">
        <v>73</v>
      </c>
      <c r="S249" t="s">
        <v>111</v>
      </c>
      <c r="T249" t="s">
        <v>105</v>
      </c>
      <c r="U249" t="s">
        <v>131</v>
      </c>
      <c r="V249" t="s">
        <v>412</v>
      </c>
    </row>
    <row r="250" spans="13:22" x14ac:dyDescent="0.25">
      <c r="M250">
        <v>230</v>
      </c>
      <c r="N250" t="s">
        <v>125</v>
      </c>
      <c r="O250" t="s">
        <v>138</v>
      </c>
      <c r="P250" t="s">
        <v>131</v>
      </c>
      <c r="Q250" t="s">
        <v>89</v>
      </c>
      <c r="R250" t="s">
        <v>73</v>
      </c>
      <c r="S250" t="s">
        <v>96</v>
      </c>
      <c r="T250" t="s">
        <v>160</v>
      </c>
      <c r="U250" t="s">
        <v>156</v>
      </c>
      <c r="V250" t="s">
        <v>413</v>
      </c>
    </row>
    <row r="251" spans="13:22" x14ac:dyDescent="0.25">
      <c r="M251">
        <v>231</v>
      </c>
      <c r="N251" t="s">
        <v>131</v>
      </c>
      <c r="O251" t="s">
        <v>119</v>
      </c>
      <c r="P251" t="s">
        <v>138</v>
      </c>
      <c r="Q251" t="s">
        <v>89</v>
      </c>
      <c r="R251" t="s">
        <v>73</v>
      </c>
      <c r="S251" t="s">
        <v>96</v>
      </c>
      <c r="T251" t="s">
        <v>160</v>
      </c>
      <c r="U251" t="s">
        <v>156</v>
      </c>
      <c r="V251" t="s">
        <v>414</v>
      </c>
    </row>
    <row r="252" spans="13:22" x14ac:dyDescent="0.25">
      <c r="M252">
        <v>232</v>
      </c>
      <c r="N252" t="s">
        <v>125</v>
      </c>
      <c r="O252" t="s">
        <v>119</v>
      </c>
      <c r="P252" t="s">
        <v>138</v>
      </c>
      <c r="Q252" t="s">
        <v>89</v>
      </c>
      <c r="R252" t="s">
        <v>73</v>
      </c>
      <c r="S252" t="s">
        <v>96</v>
      </c>
      <c r="T252" t="s">
        <v>160</v>
      </c>
      <c r="U252" t="s">
        <v>156</v>
      </c>
      <c r="V252" t="s">
        <v>415</v>
      </c>
    </row>
    <row r="253" spans="13:22" x14ac:dyDescent="0.25">
      <c r="M253">
        <v>233</v>
      </c>
      <c r="N253" t="s">
        <v>125</v>
      </c>
      <c r="O253" t="s">
        <v>119</v>
      </c>
      <c r="P253" t="s">
        <v>131</v>
      </c>
      <c r="Q253" t="s">
        <v>89</v>
      </c>
      <c r="R253" t="s">
        <v>73</v>
      </c>
      <c r="S253" t="s">
        <v>96</v>
      </c>
      <c r="T253" t="s">
        <v>160</v>
      </c>
      <c r="U253" t="s">
        <v>156</v>
      </c>
      <c r="V253" t="s">
        <v>416</v>
      </c>
    </row>
    <row r="254" spans="13:22" x14ac:dyDescent="0.25">
      <c r="M254">
        <v>234</v>
      </c>
      <c r="N254" t="s">
        <v>125</v>
      </c>
      <c r="O254" t="s">
        <v>119</v>
      </c>
      <c r="P254" t="s">
        <v>138</v>
      </c>
      <c r="Q254" t="s">
        <v>89</v>
      </c>
      <c r="R254" t="s">
        <v>73</v>
      </c>
      <c r="S254" t="s">
        <v>96</v>
      </c>
      <c r="T254" t="s">
        <v>160</v>
      </c>
      <c r="U254" t="s">
        <v>131</v>
      </c>
      <c r="V254" t="s">
        <v>417</v>
      </c>
    </row>
    <row r="255" spans="13:22" x14ac:dyDescent="0.25">
      <c r="M255">
        <v>235</v>
      </c>
      <c r="N255" t="s">
        <v>125</v>
      </c>
      <c r="O255" t="s">
        <v>119</v>
      </c>
      <c r="P255" t="s">
        <v>138</v>
      </c>
      <c r="Q255" t="s">
        <v>89</v>
      </c>
      <c r="R255" t="s">
        <v>73</v>
      </c>
      <c r="S255" t="s">
        <v>96</v>
      </c>
      <c r="T255" t="s">
        <v>131</v>
      </c>
      <c r="U255" t="s">
        <v>156</v>
      </c>
      <c r="V255" t="s">
        <v>418</v>
      </c>
    </row>
    <row r="256" spans="13:22" x14ac:dyDescent="0.25">
      <c r="M256">
        <v>236</v>
      </c>
      <c r="N256" t="s">
        <v>89</v>
      </c>
      <c r="O256" t="s">
        <v>138</v>
      </c>
      <c r="P256" t="s">
        <v>131</v>
      </c>
      <c r="Q256" t="s">
        <v>96</v>
      </c>
      <c r="R256" t="s">
        <v>73</v>
      </c>
      <c r="S256" t="s">
        <v>111</v>
      </c>
      <c r="T256" t="s">
        <v>160</v>
      </c>
      <c r="U256" t="s">
        <v>156</v>
      </c>
      <c r="V256" t="s">
        <v>419</v>
      </c>
    </row>
    <row r="257" spans="13:22" x14ac:dyDescent="0.25">
      <c r="M257">
        <v>237</v>
      </c>
      <c r="N257" t="s">
        <v>125</v>
      </c>
      <c r="O257" t="s">
        <v>138</v>
      </c>
      <c r="P257" t="s">
        <v>111</v>
      </c>
      <c r="Q257" t="s">
        <v>89</v>
      </c>
      <c r="R257" t="s">
        <v>73</v>
      </c>
      <c r="S257" t="s">
        <v>96</v>
      </c>
      <c r="T257" t="s">
        <v>160</v>
      </c>
      <c r="U257" t="s">
        <v>156</v>
      </c>
      <c r="V257" t="s">
        <v>420</v>
      </c>
    </row>
    <row r="258" spans="13:22" x14ac:dyDescent="0.25">
      <c r="M258">
        <v>238</v>
      </c>
      <c r="N258" t="s">
        <v>125</v>
      </c>
      <c r="O258" t="s">
        <v>111</v>
      </c>
      <c r="P258" t="s">
        <v>131</v>
      </c>
      <c r="Q258" t="s">
        <v>89</v>
      </c>
      <c r="R258" t="s">
        <v>73</v>
      </c>
      <c r="S258" t="s">
        <v>96</v>
      </c>
      <c r="T258" t="s">
        <v>160</v>
      </c>
      <c r="U258" t="s">
        <v>156</v>
      </c>
      <c r="V258" t="s">
        <v>421</v>
      </c>
    </row>
    <row r="259" spans="13:22" x14ac:dyDescent="0.25">
      <c r="M259">
        <v>239</v>
      </c>
      <c r="N259" t="s">
        <v>125</v>
      </c>
      <c r="O259" t="s">
        <v>138</v>
      </c>
      <c r="P259" t="s">
        <v>111</v>
      </c>
      <c r="Q259" t="s">
        <v>89</v>
      </c>
      <c r="R259" t="s">
        <v>73</v>
      </c>
      <c r="S259" t="s">
        <v>96</v>
      </c>
      <c r="T259" t="s">
        <v>160</v>
      </c>
      <c r="U259" t="s">
        <v>131</v>
      </c>
      <c r="V259" t="s">
        <v>422</v>
      </c>
    </row>
    <row r="260" spans="13:22" x14ac:dyDescent="0.25">
      <c r="M260">
        <v>240</v>
      </c>
      <c r="N260" t="s">
        <v>125</v>
      </c>
      <c r="O260" t="s">
        <v>138</v>
      </c>
      <c r="P260" t="s">
        <v>111</v>
      </c>
      <c r="Q260" t="s">
        <v>89</v>
      </c>
      <c r="R260" t="s">
        <v>73</v>
      </c>
      <c r="S260" t="s">
        <v>96</v>
      </c>
      <c r="T260" t="s">
        <v>131</v>
      </c>
      <c r="U260" t="s">
        <v>156</v>
      </c>
      <c r="V260" t="s">
        <v>423</v>
      </c>
    </row>
    <row r="261" spans="13:22" x14ac:dyDescent="0.25">
      <c r="M261">
        <v>241</v>
      </c>
      <c r="N261" t="s">
        <v>89</v>
      </c>
      <c r="O261" t="s">
        <v>119</v>
      </c>
      <c r="P261" t="s">
        <v>138</v>
      </c>
      <c r="Q261" t="s">
        <v>96</v>
      </c>
      <c r="R261" t="s">
        <v>73</v>
      </c>
      <c r="S261" t="s">
        <v>111</v>
      </c>
      <c r="T261" t="s">
        <v>160</v>
      </c>
      <c r="U261" t="s">
        <v>156</v>
      </c>
      <c r="V261" t="s">
        <v>424</v>
      </c>
    </row>
    <row r="262" spans="13:22" x14ac:dyDescent="0.25">
      <c r="M262">
        <v>242</v>
      </c>
      <c r="N262" t="s">
        <v>89</v>
      </c>
      <c r="O262" t="s">
        <v>119</v>
      </c>
      <c r="P262" t="s">
        <v>131</v>
      </c>
      <c r="Q262" t="s">
        <v>96</v>
      </c>
      <c r="R262" t="s">
        <v>73</v>
      </c>
      <c r="S262" t="s">
        <v>111</v>
      </c>
      <c r="T262" t="s">
        <v>160</v>
      </c>
      <c r="U262" t="s">
        <v>156</v>
      </c>
      <c r="V262" t="s">
        <v>425</v>
      </c>
    </row>
    <row r="263" spans="13:22" x14ac:dyDescent="0.25">
      <c r="M263">
        <v>243</v>
      </c>
      <c r="N263" t="s">
        <v>89</v>
      </c>
      <c r="O263" t="s">
        <v>119</v>
      </c>
      <c r="P263" t="s">
        <v>138</v>
      </c>
      <c r="Q263" t="s">
        <v>96</v>
      </c>
      <c r="R263" t="s">
        <v>73</v>
      </c>
      <c r="S263" t="s">
        <v>111</v>
      </c>
      <c r="T263" t="s">
        <v>160</v>
      </c>
      <c r="U263" t="s">
        <v>131</v>
      </c>
      <c r="V263" t="s">
        <v>426</v>
      </c>
    </row>
    <row r="264" spans="13:22" x14ac:dyDescent="0.25">
      <c r="M264">
        <v>244</v>
      </c>
      <c r="N264" t="s">
        <v>89</v>
      </c>
      <c r="O264" t="s">
        <v>119</v>
      </c>
      <c r="P264" t="s">
        <v>138</v>
      </c>
      <c r="Q264" t="s">
        <v>96</v>
      </c>
      <c r="R264" t="s">
        <v>73</v>
      </c>
      <c r="S264" t="s">
        <v>111</v>
      </c>
      <c r="T264" t="s">
        <v>131</v>
      </c>
      <c r="U264" t="s">
        <v>156</v>
      </c>
      <c r="V264" t="s">
        <v>427</v>
      </c>
    </row>
    <row r="265" spans="13:22" x14ac:dyDescent="0.25">
      <c r="M265">
        <v>245</v>
      </c>
      <c r="N265" t="s">
        <v>125</v>
      </c>
      <c r="O265" t="s">
        <v>119</v>
      </c>
      <c r="P265" t="s">
        <v>111</v>
      </c>
      <c r="Q265" t="s">
        <v>89</v>
      </c>
      <c r="R265" t="s">
        <v>73</v>
      </c>
      <c r="S265" t="s">
        <v>96</v>
      </c>
      <c r="T265" t="s">
        <v>160</v>
      </c>
      <c r="U265" t="s">
        <v>156</v>
      </c>
      <c r="V265" t="s">
        <v>428</v>
      </c>
    </row>
    <row r="266" spans="13:22" x14ac:dyDescent="0.25">
      <c r="M266">
        <v>246</v>
      </c>
      <c r="N266" t="s">
        <v>89</v>
      </c>
      <c r="O266" t="s">
        <v>119</v>
      </c>
      <c r="P266" t="s">
        <v>138</v>
      </c>
      <c r="Q266" t="s">
        <v>96</v>
      </c>
      <c r="R266" t="s">
        <v>73</v>
      </c>
      <c r="S266" t="s">
        <v>111</v>
      </c>
      <c r="T266" t="s">
        <v>160</v>
      </c>
      <c r="U266" t="s">
        <v>125</v>
      </c>
      <c r="V266" t="s">
        <v>429</v>
      </c>
    </row>
    <row r="267" spans="13:22" x14ac:dyDescent="0.25">
      <c r="M267">
        <v>247</v>
      </c>
      <c r="N267" t="s">
        <v>125</v>
      </c>
      <c r="O267" t="s">
        <v>119</v>
      </c>
      <c r="P267" t="s">
        <v>138</v>
      </c>
      <c r="Q267" t="s">
        <v>89</v>
      </c>
      <c r="R267" t="s">
        <v>73</v>
      </c>
      <c r="S267" t="s">
        <v>111</v>
      </c>
      <c r="T267" t="s">
        <v>96</v>
      </c>
      <c r="U267" t="s">
        <v>156</v>
      </c>
      <c r="V267" t="s">
        <v>430</v>
      </c>
    </row>
    <row r="268" spans="13:22" x14ac:dyDescent="0.25">
      <c r="M268">
        <v>248</v>
      </c>
      <c r="N268" t="s">
        <v>125</v>
      </c>
      <c r="O268" t="s">
        <v>119</v>
      </c>
      <c r="P268" t="s">
        <v>111</v>
      </c>
      <c r="Q268" t="s">
        <v>89</v>
      </c>
      <c r="R268" t="s">
        <v>73</v>
      </c>
      <c r="S268" t="s">
        <v>96</v>
      </c>
      <c r="T268" t="s">
        <v>160</v>
      </c>
      <c r="U268" t="s">
        <v>131</v>
      </c>
      <c r="V268" t="s">
        <v>431</v>
      </c>
    </row>
    <row r="269" spans="13:22" x14ac:dyDescent="0.25">
      <c r="M269">
        <v>249</v>
      </c>
      <c r="N269" t="s">
        <v>125</v>
      </c>
      <c r="O269" t="s">
        <v>119</v>
      </c>
      <c r="P269" t="s">
        <v>111</v>
      </c>
      <c r="Q269" t="s">
        <v>89</v>
      </c>
      <c r="R269" t="s">
        <v>73</v>
      </c>
      <c r="S269" t="s">
        <v>96</v>
      </c>
      <c r="T269" t="s">
        <v>131</v>
      </c>
      <c r="U269" t="s">
        <v>156</v>
      </c>
      <c r="V269" t="s">
        <v>432</v>
      </c>
    </row>
    <row r="270" spans="13:22" x14ac:dyDescent="0.25">
      <c r="M270">
        <v>250</v>
      </c>
      <c r="N270" t="s">
        <v>125</v>
      </c>
      <c r="O270" t="s">
        <v>119</v>
      </c>
      <c r="P270" t="s">
        <v>138</v>
      </c>
      <c r="Q270" t="s">
        <v>89</v>
      </c>
      <c r="R270" t="s">
        <v>73</v>
      </c>
      <c r="S270" t="s">
        <v>111</v>
      </c>
      <c r="T270" t="s">
        <v>96</v>
      </c>
      <c r="U270" t="s">
        <v>131</v>
      </c>
      <c r="V270" t="s">
        <v>433</v>
      </c>
    </row>
    <row r="271" spans="13:22" x14ac:dyDescent="0.25">
      <c r="M271">
        <v>251</v>
      </c>
      <c r="N271" t="s">
        <v>105</v>
      </c>
      <c r="O271" t="s">
        <v>138</v>
      </c>
      <c r="P271" t="s">
        <v>131</v>
      </c>
      <c r="Q271" t="s">
        <v>89</v>
      </c>
      <c r="R271" t="s">
        <v>73</v>
      </c>
      <c r="S271" t="s">
        <v>96</v>
      </c>
      <c r="T271" t="s">
        <v>160</v>
      </c>
      <c r="U271" t="s">
        <v>156</v>
      </c>
      <c r="V271" t="s">
        <v>434</v>
      </c>
    </row>
    <row r="272" spans="13:22" x14ac:dyDescent="0.25">
      <c r="M272">
        <v>252</v>
      </c>
      <c r="N272" t="s">
        <v>125</v>
      </c>
      <c r="O272" t="s">
        <v>138</v>
      </c>
      <c r="P272" t="s">
        <v>105</v>
      </c>
      <c r="Q272" t="s">
        <v>89</v>
      </c>
      <c r="R272" t="s">
        <v>73</v>
      </c>
      <c r="S272" t="s">
        <v>96</v>
      </c>
      <c r="T272" t="s">
        <v>160</v>
      </c>
      <c r="U272" t="s">
        <v>156</v>
      </c>
      <c r="V272" t="s">
        <v>435</v>
      </c>
    </row>
    <row r="273" spans="13:22" x14ac:dyDescent="0.25">
      <c r="M273">
        <v>253</v>
      </c>
      <c r="N273" t="s">
        <v>125</v>
      </c>
      <c r="O273" t="s">
        <v>105</v>
      </c>
      <c r="P273" t="s">
        <v>131</v>
      </c>
      <c r="Q273" t="s">
        <v>89</v>
      </c>
      <c r="R273" t="s">
        <v>73</v>
      </c>
      <c r="S273" t="s">
        <v>96</v>
      </c>
      <c r="T273" t="s">
        <v>160</v>
      </c>
      <c r="U273" t="s">
        <v>156</v>
      </c>
      <c r="V273" t="s">
        <v>436</v>
      </c>
    </row>
    <row r="274" spans="13:22" x14ac:dyDescent="0.25">
      <c r="M274">
        <v>254</v>
      </c>
      <c r="N274" t="s">
        <v>125</v>
      </c>
      <c r="O274" t="s">
        <v>138</v>
      </c>
      <c r="P274" t="s">
        <v>105</v>
      </c>
      <c r="Q274" t="s">
        <v>89</v>
      </c>
      <c r="R274" t="s">
        <v>73</v>
      </c>
      <c r="S274" t="s">
        <v>96</v>
      </c>
      <c r="T274" t="s">
        <v>160</v>
      </c>
      <c r="U274" t="s">
        <v>131</v>
      </c>
      <c r="V274" t="s">
        <v>437</v>
      </c>
    </row>
    <row r="275" spans="13:22" x14ac:dyDescent="0.25">
      <c r="M275">
        <v>255</v>
      </c>
      <c r="N275" t="s">
        <v>125</v>
      </c>
      <c r="O275" t="s">
        <v>138</v>
      </c>
      <c r="P275" t="s">
        <v>105</v>
      </c>
      <c r="Q275" t="s">
        <v>89</v>
      </c>
      <c r="R275" t="s">
        <v>73</v>
      </c>
      <c r="S275" t="s">
        <v>96</v>
      </c>
      <c r="T275" t="s">
        <v>131</v>
      </c>
      <c r="U275" t="s">
        <v>156</v>
      </c>
      <c r="V275" t="s">
        <v>438</v>
      </c>
    </row>
    <row r="276" spans="13:22" x14ac:dyDescent="0.25">
      <c r="M276">
        <v>256</v>
      </c>
      <c r="N276" t="s">
        <v>105</v>
      </c>
      <c r="O276" t="s">
        <v>119</v>
      </c>
      <c r="P276" t="s">
        <v>138</v>
      </c>
      <c r="Q276" t="s">
        <v>89</v>
      </c>
      <c r="R276" t="s">
        <v>73</v>
      </c>
      <c r="S276" t="s">
        <v>96</v>
      </c>
      <c r="T276" t="s">
        <v>160</v>
      </c>
      <c r="U276" t="s">
        <v>156</v>
      </c>
      <c r="V276" t="s">
        <v>439</v>
      </c>
    </row>
    <row r="277" spans="13:22" x14ac:dyDescent="0.25">
      <c r="M277">
        <v>257</v>
      </c>
      <c r="N277" t="s">
        <v>105</v>
      </c>
      <c r="O277" t="s">
        <v>119</v>
      </c>
      <c r="P277" t="s">
        <v>131</v>
      </c>
      <c r="Q277" t="s">
        <v>89</v>
      </c>
      <c r="R277" t="s">
        <v>73</v>
      </c>
      <c r="S277" t="s">
        <v>96</v>
      </c>
      <c r="T277" t="s">
        <v>160</v>
      </c>
      <c r="U277" t="s">
        <v>156</v>
      </c>
      <c r="V277" t="s">
        <v>440</v>
      </c>
    </row>
    <row r="278" spans="13:22" x14ac:dyDescent="0.25">
      <c r="M278">
        <v>258</v>
      </c>
      <c r="N278" t="s">
        <v>105</v>
      </c>
      <c r="O278" t="s">
        <v>119</v>
      </c>
      <c r="P278" t="s">
        <v>138</v>
      </c>
      <c r="Q278" t="s">
        <v>89</v>
      </c>
      <c r="R278" t="s">
        <v>73</v>
      </c>
      <c r="S278" t="s">
        <v>96</v>
      </c>
      <c r="T278" t="s">
        <v>160</v>
      </c>
      <c r="U278" t="s">
        <v>131</v>
      </c>
      <c r="V278" t="s">
        <v>441</v>
      </c>
    </row>
    <row r="279" spans="13:22" x14ac:dyDescent="0.25">
      <c r="M279">
        <v>259</v>
      </c>
      <c r="N279" t="s">
        <v>105</v>
      </c>
      <c r="O279" t="s">
        <v>119</v>
      </c>
      <c r="P279" t="s">
        <v>138</v>
      </c>
      <c r="Q279" t="s">
        <v>89</v>
      </c>
      <c r="R279" t="s">
        <v>73</v>
      </c>
      <c r="S279" t="s">
        <v>96</v>
      </c>
      <c r="T279" t="s">
        <v>131</v>
      </c>
      <c r="U279" t="s">
        <v>156</v>
      </c>
      <c r="V279" t="s">
        <v>442</v>
      </c>
    </row>
    <row r="280" spans="13:22" x14ac:dyDescent="0.25">
      <c r="M280">
        <v>260</v>
      </c>
      <c r="N280" t="s">
        <v>125</v>
      </c>
      <c r="O280" t="s">
        <v>119</v>
      </c>
      <c r="P280" t="s">
        <v>105</v>
      </c>
      <c r="Q280" t="s">
        <v>89</v>
      </c>
      <c r="R280" t="s">
        <v>73</v>
      </c>
      <c r="S280" t="s">
        <v>96</v>
      </c>
      <c r="T280" t="s">
        <v>160</v>
      </c>
      <c r="U280" t="s">
        <v>156</v>
      </c>
      <c r="V280" t="s">
        <v>443</v>
      </c>
    </row>
    <row r="281" spans="13:22" x14ac:dyDescent="0.25">
      <c r="M281">
        <v>261</v>
      </c>
      <c r="N281" t="s">
        <v>125</v>
      </c>
      <c r="O281" t="s">
        <v>119</v>
      </c>
      <c r="P281" t="s">
        <v>138</v>
      </c>
      <c r="Q281" t="s">
        <v>89</v>
      </c>
      <c r="R281" t="s">
        <v>73</v>
      </c>
      <c r="S281" t="s">
        <v>96</v>
      </c>
      <c r="T281" t="s">
        <v>160</v>
      </c>
      <c r="U281" t="s">
        <v>105</v>
      </c>
      <c r="V281" t="s">
        <v>444</v>
      </c>
    </row>
    <row r="282" spans="13:22" x14ac:dyDescent="0.25">
      <c r="M282">
        <v>262</v>
      </c>
      <c r="N282" t="s">
        <v>125</v>
      </c>
      <c r="O282" t="s">
        <v>119</v>
      </c>
      <c r="P282" t="s">
        <v>138</v>
      </c>
      <c r="Q282" t="s">
        <v>89</v>
      </c>
      <c r="R282" t="s">
        <v>73</v>
      </c>
      <c r="S282" t="s">
        <v>96</v>
      </c>
      <c r="T282" t="s">
        <v>105</v>
      </c>
      <c r="U282" t="s">
        <v>156</v>
      </c>
      <c r="V282" t="s">
        <v>445</v>
      </c>
    </row>
    <row r="283" spans="13:22" x14ac:dyDescent="0.25">
      <c r="M283">
        <v>263</v>
      </c>
      <c r="N283" t="s">
        <v>125</v>
      </c>
      <c r="O283" t="s">
        <v>119</v>
      </c>
      <c r="P283" t="s">
        <v>105</v>
      </c>
      <c r="Q283" t="s">
        <v>89</v>
      </c>
      <c r="R283" t="s">
        <v>73</v>
      </c>
      <c r="S283" t="s">
        <v>96</v>
      </c>
      <c r="T283" t="s">
        <v>160</v>
      </c>
      <c r="U283" t="s">
        <v>131</v>
      </c>
      <c r="V283" t="s">
        <v>446</v>
      </c>
    </row>
    <row r="284" spans="13:22" x14ac:dyDescent="0.25">
      <c r="M284">
        <v>264</v>
      </c>
      <c r="N284" t="s">
        <v>125</v>
      </c>
      <c r="O284" t="s">
        <v>119</v>
      </c>
      <c r="P284" t="s">
        <v>105</v>
      </c>
      <c r="Q284" t="s">
        <v>89</v>
      </c>
      <c r="R284" t="s">
        <v>73</v>
      </c>
      <c r="S284" t="s">
        <v>96</v>
      </c>
      <c r="T284" t="s">
        <v>131</v>
      </c>
      <c r="U284" t="s">
        <v>156</v>
      </c>
      <c r="V284" t="s">
        <v>447</v>
      </c>
    </row>
    <row r="285" spans="13:22" x14ac:dyDescent="0.25">
      <c r="M285">
        <v>265</v>
      </c>
      <c r="N285" t="s">
        <v>125</v>
      </c>
      <c r="O285" t="s">
        <v>119</v>
      </c>
      <c r="P285" t="s">
        <v>138</v>
      </c>
      <c r="Q285" t="s">
        <v>89</v>
      </c>
      <c r="R285" t="s">
        <v>73</v>
      </c>
      <c r="S285" t="s">
        <v>96</v>
      </c>
      <c r="T285" t="s">
        <v>105</v>
      </c>
      <c r="U285" t="s">
        <v>131</v>
      </c>
      <c r="V285" t="s">
        <v>448</v>
      </c>
    </row>
    <row r="286" spans="13:22" x14ac:dyDescent="0.25">
      <c r="M286">
        <v>266</v>
      </c>
      <c r="N286" t="s">
        <v>89</v>
      </c>
      <c r="O286" t="s">
        <v>138</v>
      </c>
      <c r="P286" t="s">
        <v>105</v>
      </c>
      <c r="Q286" t="s">
        <v>96</v>
      </c>
      <c r="R286" t="s">
        <v>73</v>
      </c>
      <c r="S286" t="s">
        <v>111</v>
      </c>
      <c r="T286" t="s">
        <v>160</v>
      </c>
      <c r="U286" t="s">
        <v>156</v>
      </c>
      <c r="V286" t="s">
        <v>449</v>
      </c>
    </row>
    <row r="287" spans="13:22" x14ac:dyDescent="0.25">
      <c r="M287">
        <v>267</v>
      </c>
      <c r="N287" t="s">
        <v>89</v>
      </c>
      <c r="O287" t="s">
        <v>105</v>
      </c>
      <c r="P287" t="s">
        <v>131</v>
      </c>
      <c r="Q287" t="s">
        <v>96</v>
      </c>
      <c r="R287" t="s">
        <v>73</v>
      </c>
      <c r="S287" t="s">
        <v>111</v>
      </c>
      <c r="T287" t="s">
        <v>160</v>
      </c>
      <c r="U287" t="s">
        <v>156</v>
      </c>
      <c r="V287" t="s">
        <v>450</v>
      </c>
    </row>
    <row r="288" spans="13:22" x14ac:dyDescent="0.25">
      <c r="M288">
        <v>268</v>
      </c>
      <c r="N288" t="s">
        <v>89</v>
      </c>
      <c r="O288" t="s">
        <v>138</v>
      </c>
      <c r="P288" t="s">
        <v>105</v>
      </c>
      <c r="Q288" t="s">
        <v>96</v>
      </c>
      <c r="R288" t="s">
        <v>73</v>
      </c>
      <c r="S288" t="s">
        <v>111</v>
      </c>
      <c r="T288" t="s">
        <v>160</v>
      </c>
      <c r="U288" t="s">
        <v>131</v>
      </c>
      <c r="V288" t="s">
        <v>451</v>
      </c>
    </row>
    <row r="289" spans="13:22" x14ac:dyDescent="0.25">
      <c r="M289">
        <v>269</v>
      </c>
      <c r="N289" t="s">
        <v>89</v>
      </c>
      <c r="O289" t="s">
        <v>138</v>
      </c>
      <c r="P289" t="s">
        <v>105</v>
      </c>
      <c r="Q289" t="s">
        <v>96</v>
      </c>
      <c r="R289" t="s">
        <v>73</v>
      </c>
      <c r="S289" t="s">
        <v>111</v>
      </c>
      <c r="T289" t="s">
        <v>131</v>
      </c>
      <c r="U289" t="s">
        <v>156</v>
      </c>
      <c r="V289" t="s">
        <v>452</v>
      </c>
    </row>
    <row r="290" spans="13:22" x14ac:dyDescent="0.25">
      <c r="M290">
        <v>270</v>
      </c>
      <c r="N290" t="s">
        <v>125</v>
      </c>
      <c r="O290" t="s">
        <v>105</v>
      </c>
      <c r="P290" t="s">
        <v>111</v>
      </c>
      <c r="Q290" t="s">
        <v>89</v>
      </c>
      <c r="R290" t="s">
        <v>73</v>
      </c>
      <c r="S290" t="s">
        <v>96</v>
      </c>
      <c r="T290" t="s">
        <v>160</v>
      </c>
      <c r="U290" t="s">
        <v>156</v>
      </c>
      <c r="V290" t="s">
        <v>453</v>
      </c>
    </row>
    <row r="291" spans="13:22" x14ac:dyDescent="0.25">
      <c r="M291">
        <v>271</v>
      </c>
      <c r="N291" t="s">
        <v>125</v>
      </c>
      <c r="O291" t="s">
        <v>138</v>
      </c>
      <c r="P291" t="s">
        <v>111</v>
      </c>
      <c r="Q291" t="s">
        <v>89</v>
      </c>
      <c r="R291" t="s">
        <v>73</v>
      </c>
      <c r="S291" t="s">
        <v>96</v>
      </c>
      <c r="T291" t="s">
        <v>160</v>
      </c>
      <c r="U291" t="s">
        <v>105</v>
      </c>
      <c r="V291" t="s">
        <v>454</v>
      </c>
    </row>
    <row r="292" spans="13:22" x14ac:dyDescent="0.25">
      <c r="M292">
        <v>272</v>
      </c>
      <c r="N292" t="s">
        <v>125</v>
      </c>
      <c r="O292" t="s">
        <v>138</v>
      </c>
      <c r="P292" t="s">
        <v>105</v>
      </c>
      <c r="Q292" t="s">
        <v>89</v>
      </c>
      <c r="R292" t="s">
        <v>73</v>
      </c>
      <c r="S292" t="s">
        <v>111</v>
      </c>
      <c r="T292" t="s">
        <v>96</v>
      </c>
      <c r="U292" t="s">
        <v>156</v>
      </c>
      <c r="V292" t="s">
        <v>455</v>
      </c>
    </row>
    <row r="293" spans="13:22" x14ac:dyDescent="0.25">
      <c r="M293">
        <v>273</v>
      </c>
      <c r="N293" t="s">
        <v>125</v>
      </c>
      <c r="O293" t="s">
        <v>105</v>
      </c>
      <c r="P293" t="s">
        <v>111</v>
      </c>
      <c r="Q293" t="s">
        <v>89</v>
      </c>
      <c r="R293" t="s">
        <v>73</v>
      </c>
      <c r="S293" t="s">
        <v>96</v>
      </c>
      <c r="T293" t="s">
        <v>160</v>
      </c>
      <c r="U293" t="s">
        <v>131</v>
      </c>
      <c r="V293" t="s">
        <v>456</v>
      </c>
    </row>
    <row r="294" spans="13:22" x14ac:dyDescent="0.25">
      <c r="M294">
        <v>274</v>
      </c>
      <c r="N294" t="s">
        <v>125</v>
      </c>
      <c r="O294" t="s">
        <v>105</v>
      </c>
      <c r="P294" t="s">
        <v>111</v>
      </c>
      <c r="Q294" t="s">
        <v>89</v>
      </c>
      <c r="R294" t="s">
        <v>73</v>
      </c>
      <c r="S294" t="s">
        <v>96</v>
      </c>
      <c r="T294" t="s">
        <v>131</v>
      </c>
      <c r="U294" t="s">
        <v>156</v>
      </c>
      <c r="V294" t="s">
        <v>457</v>
      </c>
    </row>
    <row r="295" spans="13:22" x14ac:dyDescent="0.25">
      <c r="M295">
        <v>275</v>
      </c>
      <c r="N295" t="s">
        <v>125</v>
      </c>
      <c r="O295" t="s">
        <v>138</v>
      </c>
      <c r="P295" t="s">
        <v>105</v>
      </c>
      <c r="Q295" t="s">
        <v>89</v>
      </c>
      <c r="R295" t="s">
        <v>73</v>
      </c>
      <c r="S295" t="s">
        <v>111</v>
      </c>
      <c r="T295" t="s">
        <v>96</v>
      </c>
      <c r="U295" t="s">
        <v>131</v>
      </c>
      <c r="V295" t="s">
        <v>458</v>
      </c>
    </row>
    <row r="296" spans="13:22" x14ac:dyDescent="0.25">
      <c r="M296">
        <v>276</v>
      </c>
      <c r="N296" t="s">
        <v>89</v>
      </c>
      <c r="O296" t="s">
        <v>119</v>
      </c>
      <c r="P296" t="s">
        <v>105</v>
      </c>
      <c r="Q296" t="s">
        <v>96</v>
      </c>
      <c r="R296" t="s">
        <v>73</v>
      </c>
      <c r="S296" t="s">
        <v>111</v>
      </c>
      <c r="T296" t="s">
        <v>160</v>
      </c>
      <c r="U296" t="s">
        <v>156</v>
      </c>
      <c r="V296" t="s">
        <v>459</v>
      </c>
    </row>
    <row r="297" spans="13:22" x14ac:dyDescent="0.25">
      <c r="M297">
        <v>277</v>
      </c>
      <c r="N297" t="s">
        <v>89</v>
      </c>
      <c r="O297" t="s">
        <v>119</v>
      </c>
      <c r="P297" t="s">
        <v>138</v>
      </c>
      <c r="Q297" t="s">
        <v>96</v>
      </c>
      <c r="R297" t="s">
        <v>73</v>
      </c>
      <c r="S297" t="s">
        <v>111</v>
      </c>
      <c r="T297" t="s">
        <v>160</v>
      </c>
      <c r="U297" t="s">
        <v>105</v>
      </c>
      <c r="V297" t="s">
        <v>460</v>
      </c>
    </row>
    <row r="298" spans="13:22" x14ac:dyDescent="0.25">
      <c r="M298">
        <v>278</v>
      </c>
      <c r="N298" t="s">
        <v>89</v>
      </c>
      <c r="O298" t="s">
        <v>119</v>
      </c>
      <c r="P298" t="s">
        <v>138</v>
      </c>
      <c r="Q298" t="s">
        <v>96</v>
      </c>
      <c r="R298" t="s">
        <v>73</v>
      </c>
      <c r="S298" t="s">
        <v>111</v>
      </c>
      <c r="T298" t="s">
        <v>105</v>
      </c>
      <c r="U298" t="s">
        <v>156</v>
      </c>
      <c r="V298" t="s">
        <v>461</v>
      </c>
    </row>
    <row r="299" spans="13:22" x14ac:dyDescent="0.25">
      <c r="M299">
        <v>279</v>
      </c>
      <c r="N299" t="s">
        <v>89</v>
      </c>
      <c r="O299" t="s">
        <v>119</v>
      </c>
      <c r="P299" t="s">
        <v>105</v>
      </c>
      <c r="Q299" t="s">
        <v>96</v>
      </c>
      <c r="R299" t="s">
        <v>73</v>
      </c>
      <c r="S299" t="s">
        <v>111</v>
      </c>
      <c r="T299" t="s">
        <v>160</v>
      </c>
      <c r="U299" t="s">
        <v>131</v>
      </c>
      <c r="V299" t="s">
        <v>462</v>
      </c>
    </row>
    <row r="300" spans="13:22" x14ac:dyDescent="0.25">
      <c r="M300">
        <v>280</v>
      </c>
      <c r="N300" t="s">
        <v>89</v>
      </c>
      <c r="O300" t="s">
        <v>119</v>
      </c>
      <c r="P300" t="s">
        <v>105</v>
      </c>
      <c r="Q300" t="s">
        <v>96</v>
      </c>
      <c r="R300" t="s">
        <v>73</v>
      </c>
      <c r="S300" t="s">
        <v>111</v>
      </c>
      <c r="T300" t="s">
        <v>131</v>
      </c>
      <c r="U300" t="s">
        <v>156</v>
      </c>
      <c r="V300" t="s">
        <v>463</v>
      </c>
    </row>
    <row r="301" spans="13:22" x14ac:dyDescent="0.25">
      <c r="M301">
        <v>281</v>
      </c>
      <c r="N301" t="s">
        <v>89</v>
      </c>
      <c r="O301" t="s">
        <v>119</v>
      </c>
      <c r="P301" t="s">
        <v>138</v>
      </c>
      <c r="Q301" t="s">
        <v>96</v>
      </c>
      <c r="R301" t="s">
        <v>73</v>
      </c>
      <c r="S301" t="s">
        <v>111</v>
      </c>
      <c r="T301" t="s">
        <v>105</v>
      </c>
      <c r="U301" t="s">
        <v>131</v>
      </c>
      <c r="V301" t="s">
        <v>464</v>
      </c>
    </row>
    <row r="302" spans="13:22" x14ac:dyDescent="0.25">
      <c r="M302">
        <v>282</v>
      </c>
      <c r="N302" t="s">
        <v>125</v>
      </c>
      <c r="O302" t="s">
        <v>119</v>
      </c>
      <c r="P302" t="s">
        <v>111</v>
      </c>
      <c r="Q302" t="s">
        <v>89</v>
      </c>
      <c r="R302" t="s">
        <v>73</v>
      </c>
      <c r="S302" t="s">
        <v>96</v>
      </c>
      <c r="T302" t="s">
        <v>160</v>
      </c>
      <c r="U302" t="s">
        <v>105</v>
      </c>
      <c r="V302" t="s">
        <v>465</v>
      </c>
    </row>
    <row r="303" spans="13:22" x14ac:dyDescent="0.25">
      <c r="M303">
        <v>283</v>
      </c>
      <c r="N303" t="s">
        <v>125</v>
      </c>
      <c r="O303" t="s">
        <v>119</v>
      </c>
      <c r="P303" t="s">
        <v>105</v>
      </c>
      <c r="Q303" t="s">
        <v>89</v>
      </c>
      <c r="R303" t="s">
        <v>73</v>
      </c>
      <c r="S303" t="s">
        <v>111</v>
      </c>
      <c r="T303" t="s">
        <v>96</v>
      </c>
      <c r="U303" t="s">
        <v>156</v>
      </c>
      <c r="V303" t="s">
        <v>466</v>
      </c>
    </row>
    <row r="304" spans="13:22" x14ac:dyDescent="0.25">
      <c r="M304">
        <v>284</v>
      </c>
      <c r="N304" t="s">
        <v>125</v>
      </c>
      <c r="O304" t="s">
        <v>119</v>
      </c>
      <c r="P304" t="s">
        <v>138</v>
      </c>
      <c r="Q304" t="s">
        <v>89</v>
      </c>
      <c r="R304" t="s">
        <v>73</v>
      </c>
      <c r="S304" t="s">
        <v>111</v>
      </c>
      <c r="T304" t="s">
        <v>96</v>
      </c>
      <c r="U304" t="s">
        <v>105</v>
      </c>
      <c r="V304" t="s">
        <v>467</v>
      </c>
    </row>
    <row r="305" spans="13:22" x14ac:dyDescent="0.25">
      <c r="M305">
        <v>285</v>
      </c>
      <c r="N305" t="s">
        <v>125</v>
      </c>
      <c r="O305" t="s">
        <v>119</v>
      </c>
      <c r="P305" t="s">
        <v>105</v>
      </c>
      <c r="Q305" t="s">
        <v>89</v>
      </c>
      <c r="R305" t="s">
        <v>73</v>
      </c>
      <c r="S305" t="s">
        <v>111</v>
      </c>
      <c r="T305" t="s">
        <v>96</v>
      </c>
      <c r="U305" t="s">
        <v>131</v>
      </c>
      <c r="V305" t="s">
        <v>468</v>
      </c>
    </row>
    <row r="306" spans="13:22" x14ac:dyDescent="0.25">
      <c r="M306">
        <v>286</v>
      </c>
      <c r="N306" t="s">
        <v>125</v>
      </c>
      <c r="O306" t="s">
        <v>138</v>
      </c>
      <c r="P306" t="s">
        <v>82</v>
      </c>
      <c r="Q306" t="s">
        <v>73</v>
      </c>
      <c r="R306" t="s">
        <v>131</v>
      </c>
      <c r="S306" t="s">
        <v>119</v>
      </c>
      <c r="T306" t="s">
        <v>160</v>
      </c>
      <c r="U306" t="s">
        <v>156</v>
      </c>
      <c r="V306" t="s">
        <v>469</v>
      </c>
    </row>
    <row r="307" spans="13:22" x14ac:dyDescent="0.25">
      <c r="M307">
        <v>287</v>
      </c>
      <c r="N307" t="s">
        <v>125</v>
      </c>
      <c r="O307" t="s">
        <v>138</v>
      </c>
      <c r="P307" t="s">
        <v>82</v>
      </c>
      <c r="Q307" t="s">
        <v>73</v>
      </c>
      <c r="R307" t="s">
        <v>131</v>
      </c>
      <c r="S307" t="s">
        <v>111</v>
      </c>
      <c r="T307" t="s">
        <v>160</v>
      </c>
      <c r="U307" t="s">
        <v>156</v>
      </c>
      <c r="V307" t="s">
        <v>470</v>
      </c>
    </row>
    <row r="308" spans="13:22" x14ac:dyDescent="0.25">
      <c r="M308">
        <v>288</v>
      </c>
      <c r="N308" t="s">
        <v>131</v>
      </c>
      <c r="O308" t="s">
        <v>138</v>
      </c>
      <c r="P308" t="s">
        <v>82</v>
      </c>
      <c r="Q308" t="s">
        <v>111</v>
      </c>
      <c r="R308" t="s">
        <v>73</v>
      </c>
      <c r="S308" t="s">
        <v>119</v>
      </c>
      <c r="T308" t="s">
        <v>160</v>
      </c>
      <c r="U308" t="s">
        <v>156</v>
      </c>
      <c r="V308" t="s">
        <v>471</v>
      </c>
    </row>
    <row r="309" spans="13:22" x14ac:dyDescent="0.25">
      <c r="M309">
        <v>289</v>
      </c>
      <c r="N309" t="s">
        <v>125</v>
      </c>
      <c r="O309" t="s">
        <v>138</v>
      </c>
      <c r="P309" t="s">
        <v>82</v>
      </c>
      <c r="Q309" t="s">
        <v>111</v>
      </c>
      <c r="R309" t="s">
        <v>73</v>
      </c>
      <c r="S309" t="s">
        <v>119</v>
      </c>
      <c r="T309" t="s">
        <v>160</v>
      </c>
      <c r="U309" t="s">
        <v>156</v>
      </c>
      <c r="V309" t="s">
        <v>472</v>
      </c>
    </row>
    <row r="310" spans="13:22" x14ac:dyDescent="0.25">
      <c r="M310">
        <v>290</v>
      </c>
      <c r="N310" t="s">
        <v>125</v>
      </c>
      <c r="O310" t="s">
        <v>119</v>
      </c>
      <c r="P310" t="s">
        <v>82</v>
      </c>
      <c r="Q310" t="s">
        <v>73</v>
      </c>
      <c r="R310" t="s">
        <v>131</v>
      </c>
      <c r="S310" t="s">
        <v>111</v>
      </c>
      <c r="T310" t="s">
        <v>160</v>
      </c>
      <c r="U310" t="s">
        <v>156</v>
      </c>
      <c r="V310" t="s">
        <v>473</v>
      </c>
    </row>
    <row r="311" spans="13:22" x14ac:dyDescent="0.25">
      <c r="M311">
        <v>291</v>
      </c>
      <c r="N311" t="s">
        <v>125</v>
      </c>
      <c r="O311" t="s">
        <v>138</v>
      </c>
      <c r="P311" t="s">
        <v>82</v>
      </c>
      <c r="Q311" t="s">
        <v>111</v>
      </c>
      <c r="R311" t="s">
        <v>73</v>
      </c>
      <c r="S311" t="s">
        <v>119</v>
      </c>
      <c r="T311" t="s">
        <v>160</v>
      </c>
      <c r="U311" t="s">
        <v>131</v>
      </c>
      <c r="V311" t="s">
        <v>474</v>
      </c>
    </row>
    <row r="312" spans="13:22" x14ac:dyDescent="0.25">
      <c r="M312">
        <v>292</v>
      </c>
      <c r="N312" t="s">
        <v>125</v>
      </c>
      <c r="O312" t="s">
        <v>138</v>
      </c>
      <c r="P312" t="s">
        <v>82</v>
      </c>
      <c r="Q312" t="s">
        <v>111</v>
      </c>
      <c r="R312" t="s">
        <v>73</v>
      </c>
      <c r="S312" t="s">
        <v>119</v>
      </c>
      <c r="T312" t="s">
        <v>131</v>
      </c>
      <c r="U312" t="s">
        <v>156</v>
      </c>
      <c r="V312" t="s">
        <v>475</v>
      </c>
    </row>
    <row r="313" spans="13:22" x14ac:dyDescent="0.25">
      <c r="M313">
        <v>293</v>
      </c>
      <c r="N313" t="s">
        <v>105</v>
      </c>
      <c r="O313" t="s">
        <v>138</v>
      </c>
      <c r="P313" t="s">
        <v>82</v>
      </c>
      <c r="Q313" t="s">
        <v>73</v>
      </c>
      <c r="R313" t="s">
        <v>131</v>
      </c>
      <c r="S313" t="s">
        <v>125</v>
      </c>
      <c r="T313" t="s">
        <v>160</v>
      </c>
      <c r="U313" t="s">
        <v>156</v>
      </c>
      <c r="V313" t="s">
        <v>476</v>
      </c>
    </row>
    <row r="314" spans="13:22" x14ac:dyDescent="0.25">
      <c r="M314">
        <v>294</v>
      </c>
      <c r="N314" t="s">
        <v>105</v>
      </c>
      <c r="O314" t="s">
        <v>138</v>
      </c>
      <c r="P314" t="s">
        <v>82</v>
      </c>
      <c r="Q314" t="s">
        <v>73</v>
      </c>
      <c r="R314" t="s">
        <v>131</v>
      </c>
      <c r="S314" t="s">
        <v>119</v>
      </c>
      <c r="T314" t="s">
        <v>160</v>
      </c>
      <c r="U314" t="s">
        <v>156</v>
      </c>
      <c r="V314" t="s">
        <v>477</v>
      </c>
    </row>
    <row r="315" spans="13:22" x14ac:dyDescent="0.25">
      <c r="M315">
        <v>295</v>
      </c>
      <c r="N315" t="s">
        <v>105</v>
      </c>
      <c r="O315" t="s">
        <v>138</v>
      </c>
      <c r="P315" t="s">
        <v>82</v>
      </c>
      <c r="Q315" t="s">
        <v>73</v>
      </c>
      <c r="R315" t="s">
        <v>125</v>
      </c>
      <c r="S315" t="s">
        <v>119</v>
      </c>
      <c r="T315" t="s">
        <v>160</v>
      </c>
      <c r="U315" t="s">
        <v>156</v>
      </c>
      <c r="V315" t="s">
        <v>478</v>
      </c>
    </row>
    <row r="316" spans="13:22" x14ac:dyDescent="0.25">
      <c r="M316">
        <v>296</v>
      </c>
      <c r="N316" t="s">
        <v>105</v>
      </c>
      <c r="O316" t="s">
        <v>119</v>
      </c>
      <c r="P316" t="s">
        <v>82</v>
      </c>
      <c r="Q316" t="s">
        <v>73</v>
      </c>
      <c r="R316" t="s">
        <v>131</v>
      </c>
      <c r="S316" t="s">
        <v>125</v>
      </c>
      <c r="T316" t="s">
        <v>160</v>
      </c>
      <c r="U316" t="s">
        <v>156</v>
      </c>
      <c r="V316" t="s">
        <v>479</v>
      </c>
    </row>
    <row r="317" spans="13:22" x14ac:dyDescent="0.25">
      <c r="M317">
        <v>297</v>
      </c>
      <c r="N317" t="s">
        <v>105</v>
      </c>
      <c r="O317" t="s">
        <v>138</v>
      </c>
      <c r="P317" t="s">
        <v>82</v>
      </c>
      <c r="Q317" t="s">
        <v>73</v>
      </c>
      <c r="R317" t="s">
        <v>125</v>
      </c>
      <c r="S317" t="s">
        <v>119</v>
      </c>
      <c r="T317" t="s">
        <v>160</v>
      </c>
      <c r="U317" t="s">
        <v>131</v>
      </c>
      <c r="V317" t="s">
        <v>480</v>
      </c>
    </row>
    <row r="318" spans="13:22" x14ac:dyDescent="0.25">
      <c r="M318">
        <v>298</v>
      </c>
      <c r="N318" t="s">
        <v>105</v>
      </c>
      <c r="O318" t="s">
        <v>138</v>
      </c>
      <c r="P318" t="s">
        <v>82</v>
      </c>
      <c r="Q318" t="s">
        <v>73</v>
      </c>
      <c r="R318" t="s">
        <v>125</v>
      </c>
      <c r="S318" t="s">
        <v>119</v>
      </c>
      <c r="T318" t="s">
        <v>131</v>
      </c>
      <c r="U318" t="s">
        <v>156</v>
      </c>
      <c r="V318" t="s">
        <v>481</v>
      </c>
    </row>
    <row r="319" spans="13:22" x14ac:dyDescent="0.25">
      <c r="M319">
        <v>299</v>
      </c>
      <c r="N319" t="s">
        <v>105</v>
      </c>
      <c r="O319" t="s">
        <v>138</v>
      </c>
      <c r="P319" t="s">
        <v>82</v>
      </c>
      <c r="Q319" t="s">
        <v>73</v>
      </c>
      <c r="R319" t="s">
        <v>131</v>
      </c>
      <c r="S319" t="s">
        <v>111</v>
      </c>
      <c r="T319" t="s">
        <v>160</v>
      </c>
      <c r="U319" t="s">
        <v>156</v>
      </c>
      <c r="V319" t="s">
        <v>482</v>
      </c>
    </row>
    <row r="320" spans="13:22" x14ac:dyDescent="0.25">
      <c r="M320">
        <v>300</v>
      </c>
      <c r="N320" t="s">
        <v>105</v>
      </c>
      <c r="O320" t="s">
        <v>138</v>
      </c>
      <c r="P320" t="s">
        <v>82</v>
      </c>
      <c r="Q320" t="s">
        <v>111</v>
      </c>
      <c r="R320" t="s">
        <v>73</v>
      </c>
      <c r="S320" t="s">
        <v>125</v>
      </c>
      <c r="T320" t="s">
        <v>160</v>
      </c>
      <c r="U320" t="s">
        <v>156</v>
      </c>
      <c r="V320" t="s">
        <v>483</v>
      </c>
    </row>
    <row r="321" spans="13:22" x14ac:dyDescent="0.25">
      <c r="M321">
        <v>301</v>
      </c>
      <c r="N321" t="s">
        <v>105</v>
      </c>
      <c r="O321" t="s">
        <v>131</v>
      </c>
      <c r="P321" t="s">
        <v>82</v>
      </c>
      <c r="Q321" t="s">
        <v>111</v>
      </c>
      <c r="R321" t="s">
        <v>73</v>
      </c>
      <c r="S321" t="s">
        <v>125</v>
      </c>
      <c r="T321" t="s">
        <v>160</v>
      </c>
      <c r="U321" t="s">
        <v>156</v>
      </c>
      <c r="V321" t="s">
        <v>484</v>
      </c>
    </row>
    <row r="322" spans="13:22" x14ac:dyDescent="0.25">
      <c r="M322">
        <v>302</v>
      </c>
      <c r="N322" t="s">
        <v>105</v>
      </c>
      <c r="O322" t="s">
        <v>138</v>
      </c>
      <c r="P322" t="s">
        <v>82</v>
      </c>
      <c r="Q322" t="s">
        <v>111</v>
      </c>
      <c r="R322" t="s">
        <v>73</v>
      </c>
      <c r="S322" t="s">
        <v>125</v>
      </c>
      <c r="T322" t="s">
        <v>160</v>
      </c>
      <c r="U322" t="s">
        <v>131</v>
      </c>
      <c r="V322" t="s">
        <v>485</v>
      </c>
    </row>
    <row r="323" spans="13:22" x14ac:dyDescent="0.25">
      <c r="M323">
        <v>303</v>
      </c>
      <c r="N323" t="s">
        <v>105</v>
      </c>
      <c r="O323" t="s">
        <v>138</v>
      </c>
      <c r="P323" t="s">
        <v>82</v>
      </c>
      <c r="Q323" t="s">
        <v>111</v>
      </c>
      <c r="R323" t="s">
        <v>73</v>
      </c>
      <c r="S323" t="s">
        <v>125</v>
      </c>
      <c r="T323" t="s">
        <v>131</v>
      </c>
      <c r="U323" t="s">
        <v>156</v>
      </c>
      <c r="V323" t="s">
        <v>486</v>
      </c>
    </row>
    <row r="324" spans="13:22" x14ac:dyDescent="0.25">
      <c r="M324">
        <v>304</v>
      </c>
      <c r="N324" t="s">
        <v>105</v>
      </c>
      <c r="O324" t="s">
        <v>138</v>
      </c>
      <c r="P324" t="s">
        <v>82</v>
      </c>
      <c r="Q324" t="s">
        <v>111</v>
      </c>
      <c r="R324" t="s">
        <v>73</v>
      </c>
      <c r="S324" t="s">
        <v>119</v>
      </c>
      <c r="T324" t="s">
        <v>160</v>
      </c>
      <c r="U324" t="s">
        <v>156</v>
      </c>
      <c r="V324" t="s">
        <v>487</v>
      </c>
    </row>
    <row r="325" spans="13:22" x14ac:dyDescent="0.25">
      <c r="M325">
        <v>305</v>
      </c>
      <c r="N325" t="s">
        <v>105</v>
      </c>
      <c r="O325" t="s">
        <v>119</v>
      </c>
      <c r="P325" t="s">
        <v>82</v>
      </c>
      <c r="Q325" t="s">
        <v>73</v>
      </c>
      <c r="R325" t="s">
        <v>131</v>
      </c>
      <c r="S325" t="s">
        <v>111</v>
      </c>
      <c r="T325" t="s">
        <v>160</v>
      </c>
      <c r="U325" t="s">
        <v>156</v>
      </c>
      <c r="V325" t="s">
        <v>488</v>
      </c>
    </row>
    <row r="326" spans="13:22" x14ac:dyDescent="0.25">
      <c r="M326">
        <v>306</v>
      </c>
      <c r="N326" t="s">
        <v>105</v>
      </c>
      <c r="O326" t="s">
        <v>138</v>
      </c>
      <c r="P326" t="s">
        <v>82</v>
      </c>
      <c r="Q326" t="s">
        <v>111</v>
      </c>
      <c r="R326" t="s">
        <v>73</v>
      </c>
      <c r="S326" t="s">
        <v>119</v>
      </c>
      <c r="T326" t="s">
        <v>160</v>
      </c>
      <c r="U326" t="s">
        <v>131</v>
      </c>
      <c r="V326" t="s">
        <v>489</v>
      </c>
    </row>
    <row r="327" spans="13:22" x14ac:dyDescent="0.25">
      <c r="M327">
        <v>307</v>
      </c>
      <c r="N327" t="s">
        <v>105</v>
      </c>
      <c r="O327" t="s">
        <v>138</v>
      </c>
      <c r="P327" t="s">
        <v>82</v>
      </c>
      <c r="Q327" t="s">
        <v>111</v>
      </c>
      <c r="R327" t="s">
        <v>73</v>
      </c>
      <c r="S327" t="s">
        <v>119</v>
      </c>
      <c r="T327" t="s">
        <v>131</v>
      </c>
      <c r="U327" t="s">
        <v>156</v>
      </c>
      <c r="V327" t="s">
        <v>490</v>
      </c>
    </row>
    <row r="328" spans="13:22" x14ac:dyDescent="0.25">
      <c r="M328">
        <v>308</v>
      </c>
      <c r="N328" t="s">
        <v>105</v>
      </c>
      <c r="O328" t="s">
        <v>119</v>
      </c>
      <c r="P328" t="s">
        <v>82</v>
      </c>
      <c r="Q328" t="s">
        <v>111</v>
      </c>
      <c r="R328" t="s">
        <v>73</v>
      </c>
      <c r="S328" t="s">
        <v>125</v>
      </c>
      <c r="T328" t="s">
        <v>160</v>
      </c>
      <c r="U328" t="s">
        <v>156</v>
      </c>
      <c r="V328" t="s">
        <v>491</v>
      </c>
    </row>
    <row r="329" spans="13:22" x14ac:dyDescent="0.25">
      <c r="M329">
        <v>309</v>
      </c>
      <c r="N329" t="s">
        <v>125</v>
      </c>
      <c r="O329" t="s">
        <v>138</v>
      </c>
      <c r="P329" t="s">
        <v>82</v>
      </c>
      <c r="Q329" t="s">
        <v>111</v>
      </c>
      <c r="R329" t="s">
        <v>73</v>
      </c>
      <c r="S329" t="s">
        <v>119</v>
      </c>
      <c r="T329" t="s">
        <v>160</v>
      </c>
      <c r="U329" t="s">
        <v>105</v>
      </c>
      <c r="V329" t="s">
        <v>492</v>
      </c>
    </row>
    <row r="330" spans="13:22" x14ac:dyDescent="0.25">
      <c r="M330">
        <v>310</v>
      </c>
      <c r="N330" t="s">
        <v>125</v>
      </c>
      <c r="O330" t="s">
        <v>138</v>
      </c>
      <c r="P330" t="s">
        <v>82</v>
      </c>
      <c r="Q330" t="s">
        <v>111</v>
      </c>
      <c r="R330" t="s">
        <v>73</v>
      </c>
      <c r="S330" t="s">
        <v>119</v>
      </c>
      <c r="T330" t="s">
        <v>105</v>
      </c>
      <c r="U330" t="s">
        <v>156</v>
      </c>
      <c r="V330" t="s">
        <v>493</v>
      </c>
    </row>
    <row r="331" spans="13:22" x14ac:dyDescent="0.25">
      <c r="M331">
        <v>311</v>
      </c>
      <c r="N331" t="s">
        <v>105</v>
      </c>
      <c r="O331" t="s">
        <v>119</v>
      </c>
      <c r="P331" t="s">
        <v>82</v>
      </c>
      <c r="Q331" t="s">
        <v>111</v>
      </c>
      <c r="R331" t="s">
        <v>73</v>
      </c>
      <c r="S331" t="s">
        <v>125</v>
      </c>
      <c r="T331" t="s">
        <v>160</v>
      </c>
      <c r="U331" t="s">
        <v>131</v>
      </c>
      <c r="V331" t="s">
        <v>494</v>
      </c>
    </row>
    <row r="332" spans="13:22" x14ac:dyDescent="0.25">
      <c r="M332">
        <v>312</v>
      </c>
      <c r="N332" t="s">
        <v>105</v>
      </c>
      <c r="O332" t="s">
        <v>119</v>
      </c>
      <c r="P332" t="s">
        <v>82</v>
      </c>
      <c r="Q332" t="s">
        <v>111</v>
      </c>
      <c r="R332" t="s">
        <v>73</v>
      </c>
      <c r="S332" t="s">
        <v>125</v>
      </c>
      <c r="T332" t="s">
        <v>131</v>
      </c>
      <c r="U332" t="s">
        <v>156</v>
      </c>
      <c r="V332" t="s">
        <v>495</v>
      </c>
    </row>
    <row r="333" spans="13:22" x14ac:dyDescent="0.25">
      <c r="M333">
        <v>313</v>
      </c>
      <c r="N333" t="s">
        <v>125</v>
      </c>
      <c r="O333" t="s">
        <v>138</v>
      </c>
      <c r="P333" t="s">
        <v>82</v>
      </c>
      <c r="Q333" t="s">
        <v>111</v>
      </c>
      <c r="R333" t="s">
        <v>73</v>
      </c>
      <c r="S333" t="s">
        <v>119</v>
      </c>
      <c r="T333" t="s">
        <v>105</v>
      </c>
      <c r="U333" t="s">
        <v>131</v>
      </c>
      <c r="V333" t="s">
        <v>496</v>
      </c>
    </row>
    <row r="334" spans="13:22" x14ac:dyDescent="0.25">
      <c r="M334">
        <v>314</v>
      </c>
      <c r="N334" t="s">
        <v>131</v>
      </c>
      <c r="O334" t="s">
        <v>138</v>
      </c>
      <c r="P334" t="s">
        <v>82</v>
      </c>
      <c r="Q334" t="s">
        <v>96</v>
      </c>
      <c r="R334" t="s">
        <v>73</v>
      </c>
      <c r="S334" t="s">
        <v>125</v>
      </c>
      <c r="T334" t="s">
        <v>160</v>
      </c>
      <c r="U334" t="s">
        <v>156</v>
      </c>
      <c r="V334" t="s">
        <v>497</v>
      </c>
    </row>
    <row r="335" spans="13:22" x14ac:dyDescent="0.25">
      <c r="M335">
        <v>315</v>
      </c>
      <c r="N335" t="s">
        <v>131</v>
      </c>
      <c r="O335" t="s">
        <v>138</v>
      </c>
      <c r="P335" t="s">
        <v>82</v>
      </c>
      <c r="Q335" t="s">
        <v>96</v>
      </c>
      <c r="R335" t="s">
        <v>73</v>
      </c>
      <c r="S335" t="s">
        <v>119</v>
      </c>
      <c r="T335" t="s">
        <v>160</v>
      </c>
      <c r="U335" t="s">
        <v>156</v>
      </c>
      <c r="V335" t="s">
        <v>498</v>
      </c>
    </row>
    <row r="336" spans="13:22" x14ac:dyDescent="0.25">
      <c r="M336">
        <v>316</v>
      </c>
      <c r="N336" t="s">
        <v>125</v>
      </c>
      <c r="O336" t="s">
        <v>138</v>
      </c>
      <c r="P336" t="s">
        <v>82</v>
      </c>
      <c r="Q336" t="s">
        <v>96</v>
      </c>
      <c r="R336" t="s">
        <v>73</v>
      </c>
      <c r="S336" t="s">
        <v>119</v>
      </c>
      <c r="T336" t="s">
        <v>160</v>
      </c>
      <c r="U336" t="s">
        <v>156</v>
      </c>
      <c r="V336" t="s">
        <v>499</v>
      </c>
    </row>
    <row r="337" spans="13:22" x14ac:dyDescent="0.25">
      <c r="M337">
        <v>317</v>
      </c>
      <c r="N337" t="s">
        <v>131</v>
      </c>
      <c r="O337" t="s">
        <v>119</v>
      </c>
      <c r="P337" t="s">
        <v>82</v>
      </c>
      <c r="Q337" t="s">
        <v>96</v>
      </c>
      <c r="R337" t="s">
        <v>73</v>
      </c>
      <c r="S337" t="s">
        <v>125</v>
      </c>
      <c r="T337" t="s">
        <v>160</v>
      </c>
      <c r="U337" t="s">
        <v>156</v>
      </c>
      <c r="V337" t="s">
        <v>500</v>
      </c>
    </row>
    <row r="338" spans="13:22" x14ac:dyDescent="0.25">
      <c r="M338">
        <v>318</v>
      </c>
      <c r="N338" t="s">
        <v>125</v>
      </c>
      <c r="O338" t="s">
        <v>138</v>
      </c>
      <c r="P338" t="s">
        <v>82</v>
      </c>
      <c r="Q338" t="s">
        <v>96</v>
      </c>
      <c r="R338" t="s">
        <v>73</v>
      </c>
      <c r="S338" t="s">
        <v>119</v>
      </c>
      <c r="T338" t="s">
        <v>160</v>
      </c>
      <c r="U338" t="s">
        <v>131</v>
      </c>
      <c r="V338" t="s">
        <v>501</v>
      </c>
    </row>
    <row r="339" spans="13:22" x14ac:dyDescent="0.25">
      <c r="M339">
        <v>319</v>
      </c>
      <c r="N339" t="s">
        <v>125</v>
      </c>
      <c r="O339" t="s">
        <v>138</v>
      </c>
      <c r="P339" t="s">
        <v>82</v>
      </c>
      <c r="Q339" t="s">
        <v>96</v>
      </c>
      <c r="R339" t="s">
        <v>73</v>
      </c>
      <c r="S339" t="s">
        <v>119</v>
      </c>
      <c r="T339" t="s">
        <v>131</v>
      </c>
      <c r="U339" t="s">
        <v>156</v>
      </c>
      <c r="V339" t="s">
        <v>502</v>
      </c>
    </row>
    <row r="340" spans="13:22" x14ac:dyDescent="0.25">
      <c r="M340">
        <v>320</v>
      </c>
      <c r="N340" t="s">
        <v>131</v>
      </c>
      <c r="O340" t="s">
        <v>138</v>
      </c>
      <c r="P340" t="s">
        <v>82</v>
      </c>
      <c r="Q340" t="s">
        <v>96</v>
      </c>
      <c r="R340" t="s">
        <v>73</v>
      </c>
      <c r="S340" t="s">
        <v>111</v>
      </c>
      <c r="T340" t="s">
        <v>160</v>
      </c>
      <c r="U340" t="s">
        <v>156</v>
      </c>
      <c r="V340" t="s">
        <v>503</v>
      </c>
    </row>
    <row r="341" spans="13:22" x14ac:dyDescent="0.25">
      <c r="M341">
        <v>321</v>
      </c>
      <c r="N341" t="s">
        <v>125</v>
      </c>
      <c r="O341" t="s">
        <v>138</v>
      </c>
      <c r="P341" t="s">
        <v>82</v>
      </c>
      <c r="Q341" t="s">
        <v>96</v>
      </c>
      <c r="R341" t="s">
        <v>73</v>
      </c>
      <c r="S341" t="s">
        <v>111</v>
      </c>
      <c r="T341" t="s">
        <v>160</v>
      </c>
      <c r="U341" t="s">
        <v>156</v>
      </c>
      <c r="V341" t="s">
        <v>504</v>
      </c>
    </row>
    <row r="342" spans="13:22" x14ac:dyDescent="0.25">
      <c r="M342">
        <v>322</v>
      </c>
      <c r="N342" t="s">
        <v>125</v>
      </c>
      <c r="O342" t="s">
        <v>131</v>
      </c>
      <c r="P342" t="s">
        <v>82</v>
      </c>
      <c r="Q342" t="s">
        <v>96</v>
      </c>
      <c r="R342" t="s">
        <v>73</v>
      </c>
      <c r="S342" t="s">
        <v>111</v>
      </c>
      <c r="T342" t="s">
        <v>160</v>
      </c>
      <c r="U342" t="s">
        <v>156</v>
      </c>
      <c r="V342" t="s">
        <v>505</v>
      </c>
    </row>
    <row r="343" spans="13:22" x14ac:dyDescent="0.25">
      <c r="M343">
        <v>323</v>
      </c>
      <c r="N343" t="s">
        <v>125</v>
      </c>
      <c r="O343" t="s">
        <v>138</v>
      </c>
      <c r="P343" t="s">
        <v>82</v>
      </c>
      <c r="Q343" t="s">
        <v>96</v>
      </c>
      <c r="R343" t="s">
        <v>73</v>
      </c>
      <c r="S343" t="s">
        <v>111</v>
      </c>
      <c r="T343" t="s">
        <v>160</v>
      </c>
      <c r="U343" t="s">
        <v>131</v>
      </c>
      <c r="V343" t="s">
        <v>506</v>
      </c>
    </row>
    <row r="344" spans="13:22" x14ac:dyDescent="0.25">
      <c r="M344">
        <v>324</v>
      </c>
      <c r="N344" t="s">
        <v>125</v>
      </c>
      <c r="O344" t="s">
        <v>138</v>
      </c>
      <c r="P344" t="s">
        <v>82</v>
      </c>
      <c r="Q344" t="s">
        <v>96</v>
      </c>
      <c r="R344" t="s">
        <v>73</v>
      </c>
      <c r="S344" t="s">
        <v>111</v>
      </c>
      <c r="T344" t="s">
        <v>131</v>
      </c>
      <c r="U344" t="s">
        <v>156</v>
      </c>
      <c r="V344" t="s">
        <v>507</v>
      </c>
    </row>
    <row r="345" spans="13:22" x14ac:dyDescent="0.25">
      <c r="M345">
        <v>325</v>
      </c>
      <c r="N345" t="s">
        <v>111</v>
      </c>
      <c r="O345" t="s">
        <v>138</v>
      </c>
      <c r="P345" t="s">
        <v>82</v>
      </c>
      <c r="Q345" t="s">
        <v>96</v>
      </c>
      <c r="R345" t="s">
        <v>73</v>
      </c>
      <c r="S345" t="s">
        <v>119</v>
      </c>
      <c r="T345" t="s">
        <v>160</v>
      </c>
      <c r="U345" t="s">
        <v>156</v>
      </c>
      <c r="V345" t="s">
        <v>508</v>
      </c>
    </row>
    <row r="346" spans="13:22" x14ac:dyDescent="0.25">
      <c r="M346">
        <v>326</v>
      </c>
      <c r="N346" t="s">
        <v>131</v>
      </c>
      <c r="O346" t="s">
        <v>119</v>
      </c>
      <c r="P346" t="s">
        <v>82</v>
      </c>
      <c r="Q346" t="s">
        <v>96</v>
      </c>
      <c r="R346" t="s">
        <v>73</v>
      </c>
      <c r="S346" t="s">
        <v>111</v>
      </c>
      <c r="T346" t="s">
        <v>160</v>
      </c>
      <c r="U346" t="s">
        <v>156</v>
      </c>
      <c r="V346" t="s">
        <v>509</v>
      </c>
    </row>
    <row r="347" spans="13:22" x14ac:dyDescent="0.25">
      <c r="M347">
        <v>327</v>
      </c>
      <c r="N347" t="s">
        <v>111</v>
      </c>
      <c r="O347" t="s">
        <v>138</v>
      </c>
      <c r="P347" t="s">
        <v>82</v>
      </c>
      <c r="Q347" t="s">
        <v>96</v>
      </c>
      <c r="R347" t="s">
        <v>73</v>
      </c>
      <c r="S347" t="s">
        <v>119</v>
      </c>
      <c r="T347" t="s">
        <v>160</v>
      </c>
      <c r="U347" t="s">
        <v>131</v>
      </c>
      <c r="V347" t="s">
        <v>510</v>
      </c>
    </row>
    <row r="348" spans="13:22" x14ac:dyDescent="0.25">
      <c r="M348">
        <v>328</v>
      </c>
      <c r="N348" t="s">
        <v>111</v>
      </c>
      <c r="O348" t="s">
        <v>138</v>
      </c>
      <c r="P348" t="s">
        <v>82</v>
      </c>
      <c r="Q348" t="s">
        <v>96</v>
      </c>
      <c r="R348" t="s">
        <v>73</v>
      </c>
      <c r="S348" t="s">
        <v>119</v>
      </c>
      <c r="T348" t="s">
        <v>131</v>
      </c>
      <c r="U348" t="s">
        <v>156</v>
      </c>
      <c r="V348" t="s">
        <v>511</v>
      </c>
    </row>
    <row r="349" spans="13:22" x14ac:dyDescent="0.25">
      <c r="M349">
        <v>329</v>
      </c>
      <c r="N349" t="s">
        <v>125</v>
      </c>
      <c r="O349" t="s">
        <v>119</v>
      </c>
      <c r="P349" t="s">
        <v>82</v>
      </c>
      <c r="Q349" t="s">
        <v>96</v>
      </c>
      <c r="R349" t="s">
        <v>73</v>
      </c>
      <c r="S349" t="s">
        <v>111</v>
      </c>
      <c r="T349" t="s">
        <v>160</v>
      </c>
      <c r="U349" t="s">
        <v>156</v>
      </c>
      <c r="V349" t="s">
        <v>512</v>
      </c>
    </row>
    <row r="350" spans="13:22" x14ac:dyDescent="0.25">
      <c r="M350">
        <v>330</v>
      </c>
      <c r="N350" t="s">
        <v>125</v>
      </c>
      <c r="O350" t="s">
        <v>119</v>
      </c>
      <c r="P350" t="s">
        <v>82</v>
      </c>
      <c r="Q350" t="s">
        <v>96</v>
      </c>
      <c r="R350" t="s">
        <v>73</v>
      </c>
      <c r="S350" t="s">
        <v>111</v>
      </c>
      <c r="T350" t="s">
        <v>160</v>
      </c>
      <c r="U350" t="s">
        <v>138</v>
      </c>
      <c r="V350" t="s">
        <v>513</v>
      </c>
    </row>
    <row r="351" spans="13:22" x14ac:dyDescent="0.25">
      <c r="M351">
        <v>331</v>
      </c>
      <c r="N351" t="s">
        <v>125</v>
      </c>
      <c r="O351" t="s">
        <v>119</v>
      </c>
      <c r="P351" t="s">
        <v>82</v>
      </c>
      <c r="Q351" t="s">
        <v>96</v>
      </c>
      <c r="R351" t="s">
        <v>73</v>
      </c>
      <c r="S351" t="s">
        <v>111</v>
      </c>
      <c r="T351" t="s">
        <v>138</v>
      </c>
      <c r="U351" t="s">
        <v>156</v>
      </c>
      <c r="V351" t="s">
        <v>514</v>
      </c>
    </row>
    <row r="352" spans="13:22" x14ac:dyDescent="0.25">
      <c r="M352">
        <v>332</v>
      </c>
      <c r="N352" t="s">
        <v>125</v>
      </c>
      <c r="O352" t="s">
        <v>119</v>
      </c>
      <c r="P352" t="s">
        <v>82</v>
      </c>
      <c r="Q352" t="s">
        <v>96</v>
      </c>
      <c r="R352" t="s">
        <v>73</v>
      </c>
      <c r="S352" t="s">
        <v>111</v>
      </c>
      <c r="T352" t="s">
        <v>160</v>
      </c>
      <c r="U352" t="s">
        <v>131</v>
      </c>
      <c r="V352" t="s">
        <v>515</v>
      </c>
    </row>
    <row r="353" spans="13:22" x14ac:dyDescent="0.25">
      <c r="M353">
        <v>333</v>
      </c>
      <c r="N353" t="s">
        <v>125</v>
      </c>
      <c r="O353" t="s">
        <v>119</v>
      </c>
      <c r="P353" t="s">
        <v>82</v>
      </c>
      <c r="Q353" t="s">
        <v>96</v>
      </c>
      <c r="R353" t="s">
        <v>73</v>
      </c>
      <c r="S353" t="s">
        <v>111</v>
      </c>
      <c r="T353" t="s">
        <v>131</v>
      </c>
      <c r="U353" t="s">
        <v>156</v>
      </c>
      <c r="V353" t="s">
        <v>516</v>
      </c>
    </row>
    <row r="354" spans="13:22" x14ac:dyDescent="0.25">
      <c r="M354">
        <v>334</v>
      </c>
      <c r="N354" t="s">
        <v>125</v>
      </c>
      <c r="O354" t="s">
        <v>119</v>
      </c>
      <c r="P354" t="s">
        <v>82</v>
      </c>
      <c r="Q354" t="s">
        <v>96</v>
      </c>
      <c r="R354" t="s">
        <v>73</v>
      </c>
      <c r="S354" t="s">
        <v>111</v>
      </c>
      <c r="T354" t="s">
        <v>131</v>
      </c>
      <c r="U354" t="s">
        <v>138</v>
      </c>
      <c r="V354" t="s">
        <v>517</v>
      </c>
    </row>
    <row r="355" spans="13:22" x14ac:dyDescent="0.25">
      <c r="M355">
        <v>335</v>
      </c>
      <c r="N355" t="s">
        <v>105</v>
      </c>
      <c r="O355" t="s">
        <v>138</v>
      </c>
      <c r="P355" t="s">
        <v>82</v>
      </c>
      <c r="Q355" t="s">
        <v>73</v>
      </c>
      <c r="R355" t="s">
        <v>131</v>
      </c>
      <c r="S355" t="s">
        <v>96</v>
      </c>
      <c r="T355" t="s">
        <v>160</v>
      </c>
      <c r="U355" t="s">
        <v>156</v>
      </c>
      <c r="V355" t="s">
        <v>518</v>
      </c>
    </row>
    <row r="356" spans="13:22" x14ac:dyDescent="0.25">
      <c r="M356">
        <v>336</v>
      </c>
      <c r="N356" t="s">
        <v>105</v>
      </c>
      <c r="O356" t="s">
        <v>138</v>
      </c>
      <c r="P356" t="s">
        <v>82</v>
      </c>
      <c r="Q356" t="s">
        <v>96</v>
      </c>
      <c r="R356" t="s">
        <v>73</v>
      </c>
      <c r="S356" t="s">
        <v>125</v>
      </c>
      <c r="T356" t="s">
        <v>160</v>
      </c>
      <c r="U356" t="s">
        <v>156</v>
      </c>
      <c r="V356" t="s">
        <v>519</v>
      </c>
    </row>
    <row r="357" spans="13:22" x14ac:dyDescent="0.25">
      <c r="M357">
        <v>337</v>
      </c>
      <c r="N357" t="s">
        <v>105</v>
      </c>
      <c r="O357" t="s">
        <v>131</v>
      </c>
      <c r="P357" t="s">
        <v>82</v>
      </c>
      <c r="Q357" t="s">
        <v>96</v>
      </c>
      <c r="R357" t="s">
        <v>73</v>
      </c>
      <c r="S357" t="s">
        <v>125</v>
      </c>
      <c r="T357" t="s">
        <v>160</v>
      </c>
      <c r="U357" t="s">
        <v>156</v>
      </c>
      <c r="V357" t="s">
        <v>520</v>
      </c>
    </row>
    <row r="358" spans="13:22" x14ac:dyDescent="0.25">
      <c r="M358">
        <v>338</v>
      </c>
      <c r="N358" t="s">
        <v>105</v>
      </c>
      <c r="O358" t="s">
        <v>138</v>
      </c>
      <c r="P358" t="s">
        <v>82</v>
      </c>
      <c r="Q358" t="s">
        <v>96</v>
      </c>
      <c r="R358" t="s">
        <v>73</v>
      </c>
      <c r="S358" t="s">
        <v>125</v>
      </c>
      <c r="T358" t="s">
        <v>160</v>
      </c>
      <c r="U358" t="s">
        <v>131</v>
      </c>
      <c r="V358" t="s">
        <v>521</v>
      </c>
    </row>
    <row r="359" spans="13:22" x14ac:dyDescent="0.25">
      <c r="M359">
        <v>339</v>
      </c>
      <c r="N359" t="s">
        <v>105</v>
      </c>
      <c r="O359" t="s">
        <v>138</v>
      </c>
      <c r="P359" t="s">
        <v>82</v>
      </c>
      <c r="Q359" t="s">
        <v>96</v>
      </c>
      <c r="R359" t="s">
        <v>73</v>
      </c>
      <c r="S359" t="s">
        <v>125</v>
      </c>
      <c r="T359" t="s">
        <v>131</v>
      </c>
      <c r="U359" t="s">
        <v>156</v>
      </c>
      <c r="V359" t="s">
        <v>522</v>
      </c>
    </row>
    <row r="360" spans="13:22" x14ac:dyDescent="0.25">
      <c r="M360">
        <v>340</v>
      </c>
      <c r="N360" t="s">
        <v>105</v>
      </c>
      <c r="O360" t="s">
        <v>138</v>
      </c>
      <c r="P360" t="s">
        <v>82</v>
      </c>
      <c r="Q360" t="s">
        <v>96</v>
      </c>
      <c r="R360" t="s">
        <v>73</v>
      </c>
      <c r="S360" t="s">
        <v>119</v>
      </c>
      <c r="T360" t="s">
        <v>160</v>
      </c>
      <c r="U360" t="s">
        <v>156</v>
      </c>
      <c r="V360" t="s">
        <v>523</v>
      </c>
    </row>
    <row r="361" spans="13:22" x14ac:dyDescent="0.25">
      <c r="M361">
        <v>341</v>
      </c>
      <c r="N361" t="s">
        <v>105</v>
      </c>
      <c r="O361" t="s">
        <v>119</v>
      </c>
      <c r="P361" t="s">
        <v>82</v>
      </c>
      <c r="Q361" t="s">
        <v>73</v>
      </c>
      <c r="R361" t="s">
        <v>131</v>
      </c>
      <c r="S361" t="s">
        <v>96</v>
      </c>
      <c r="T361" t="s">
        <v>160</v>
      </c>
      <c r="U361" t="s">
        <v>156</v>
      </c>
      <c r="V361" t="s">
        <v>524</v>
      </c>
    </row>
    <row r="362" spans="13:22" x14ac:dyDescent="0.25">
      <c r="M362">
        <v>342</v>
      </c>
      <c r="N362" t="s">
        <v>105</v>
      </c>
      <c r="O362" t="s">
        <v>138</v>
      </c>
      <c r="P362" t="s">
        <v>82</v>
      </c>
      <c r="Q362" t="s">
        <v>96</v>
      </c>
      <c r="R362" t="s">
        <v>73</v>
      </c>
      <c r="S362" t="s">
        <v>119</v>
      </c>
      <c r="T362" t="s">
        <v>160</v>
      </c>
      <c r="U362" t="s">
        <v>131</v>
      </c>
      <c r="V362" t="s">
        <v>525</v>
      </c>
    </row>
    <row r="363" spans="13:22" x14ac:dyDescent="0.25">
      <c r="M363">
        <v>343</v>
      </c>
      <c r="N363" t="s">
        <v>105</v>
      </c>
      <c r="O363" t="s">
        <v>138</v>
      </c>
      <c r="P363" t="s">
        <v>82</v>
      </c>
      <c r="Q363" t="s">
        <v>96</v>
      </c>
      <c r="R363" t="s">
        <v>73</v>
      </c>
      <c r="S363" t="s">
        <v>119</v>
      </c>
      <c r="T363" t="s">
        <v>131</v>
      </c>
      <c r="U363" t="s">
        <v>156</v>
      </c>
      <c r="V363" t="s">
        <v>526</v>
      </c>
    </row>
    <row r="364" spans="13:22" x14ac:dyDescent="0.25">
      <c r="M364">
        <v>344</v>
      </c>
      <c r="N364" t="s">
        <v>105</v>
      </c>
      <c r="O364" t="s">
        <v>119</v>
      </c>
      <c r="P364" t="s">
        <v>82</v>
      </c>
      <c r="Q364" t="s">
        <v>96</v>
      </c>
      <c r="R364" t="s">
        <v>73</v>
      </c>
      <c r="S364" t="s">
        <v>125</v>
      </c>
      <c r="T364" t="s">
        <v>160</v>
      </c>
      <c r="U364" t="s">
        <v>156</v>
      </c>
      <c r="V364" t="s">
        <v>527</v>
      </c>
    </row>
    <row r="365" spans="13:22" x14ac:dyDescent="0.25">
      <c r="M365">
        <v>345</v>
      </c>
      <c r="N365" t="s">
        <v>125</v>
      </c>
      <c r="O365" t="s">
        <v>138</v>
      </c>
      <c r="P365" t="s">
        <v>82</v>
      </c>
      <c r="Q365" t="s">
        <v>96</v>
      </c>
      <c r="R365" t="s">
        <v>73</v>
      </c>
      <c r="S365" t="s">
        <v>119</v>
      </c>
      <c r="T365" t="s">
        <v>160</v>
      </c>
      <c r="U365" t="s">
        <v>105</v>
      </c>
      <c r="V365" t="s">
        <v>528</v>
      </c>
    </row>
    <row r="366" spans="13:22" x14ac:dyDescent="0.25">
      <c r="M366">
        <v>346</v>
      </c>
      <c r="N366" t="s">
        <v>125</v>
      </c>
      <c r="O366" t="s">
        <v>138</v>
      </c>
      <c r="P366" t="s">
        <v>82</v>
      </c>
      <c r="Q366" t="s">
        <v>96</v>
      </c>
      <c r="R366" t="s">
        <v>73</v>
      </c>
      <c r="S366" t="s">
        <v>119</v>
      </c>
      <c r="T366" t="s">
        <v>105</v>
      </c>
      <c r="U366" t="s">
        <v>156</v>
      </c>
      <c r="V366" t="s">
        <v>529</v>
      </c>
    </row>
    <row r="367" spans="13:22" x14ac:dyDescent="0.25">
      <c r="M367">
        <v>347</v>
      </c>
      <c r="N367" t="s">
        <v>105</v>
      </c>
      <c r="O367" t="s">
        <v>119</v>
      </c>
      <c r="P367" t="s">
        <v>82</v>
      </c>
      <c r="Q367" t="s">
        <v>96</v>
      </c>
      <c r="R367" t="s">
        <v>73</v>
      </c>
      <c r="S367" t="s">
        <v>125</v>
      </c>
      <c r="T367" t="s">
        <v>160</v>
      </c>
      <c r="U367" t="s">
        <v>131</v>
      </c>
      <c r="V367" t="s">
        <v>530</v>
      </c>
    </row>
    <row r="368" spans="13:22" x14ac:dyDescent="0.25">
      <c r="M368">
        <v>348</v>
      </c>
      <c r="N368" t="s">
        <v>105</v>
      </c>
      <c r="O368" t="s">
        <v>119</v>
      </c>
      <c r="P368" t="s">
        <v>82</v>
      </c>
      <c r="Q368" t="s">
        <v>96</v>
      </c>
      <c r="R368" t="s">
        <v>73</v>
      </c>
      <c r="S368" t="s">
        <v>125</v>
      </c>
      <c r="T368" t="s">
        <v>131</v>
      </c>
      <c r="U368" t="s">
        <v>156</v>
      </c>
      <c r="V368" t="s">
        <v>531</v>
      </c>
    </row>
    <row r="369" spans="13:22" x14ac:dyDescent="0.25">
      <c r="M369">
        <v>349</v>
      </c>
      <c r="N369" t="s">
        <v>125</v>
      </c>
      <c r="O369" t="s">
        <v>138</v>
      </c>
      <c r="P369" t="s">
        <v>82</v>
      </c>
      <c r="Q369" t="s">
        <v>96</v>
      </c>
      <c r="R369" t="s">
        <v>73</v>
      </c>
      <c r="S369" t="s">
        <v>119</v>
      </c>
      <c r="T369" t="s">
        <v>105</v>
      </c>
      <c r="U369" t="s">
        <v>131</v>
      </c>
      <c r="V369" t="s">
        <v>532</v>
      </c>
    </row>
    <row r="370" spans="13:22" x14ac:dyDescent="0.25">
      <c r="M370">
        <v>350</v>
      </c>
      <c r="N370" t="s">
        <v>105</v>
      </c>
      <c r="O370" t="s">
        <v>138</v>
      </c>
      <c r="P370" t="s">
        <v>82</v>
      </c>
      <c r="Q370" t="s">
        <v>96</v>
      </c>
      <c r="R370" t="s">
        <v>73</v>
      </c>
      <c r="S370" t="s">
        <v>111</v>
      </c>
      <c r="T370" t="s">
        <v>160</v>
      </c>
      <c r="U370" t="s">
        <v>156</v>
      </c>
      <c r="V370" t="s">
        <v>533</v>
      </c>
    </row>
    <row r="371" spans="13:22" x14ac:dyDescent="0.25">
      <c r="M371">
        <v>351</v>
      </c>
      <c r="N371" t="s">
        <v>105</v>
      </c>
      <c r="O371" t="s">
        <v>131</v>
      </c>
      <c r="P371" t="s">
        <v>82</v>
      </c>
      <c r="Q371" t="s">
        <v>96</v>
      </c>
      <c r="R371" t="s">
        <v>73</v>
      </c>
      <c r="S371" t="s">
        <v>111</v>
      </c>
      <c r="T371" t="s">
        <v>160</v>
      </c>
      <c r="U371" t="s">
        <v>156</v>
      </c>
      <c r="V371" t="s">
        <v>534</v>
      </c>
    </row>
    <row r="372" spans="13:22" x14ac:dyDescent="0.25">
      <c r="M372">
        <v>352</v>
      </c>
      <c r="N372" t="s">
        <v>105</v>
      </c>
      <c r="O372" t="s">
        <v>138</v>
      </c>
      <c r="P372" t="s">
        <v>82</v>
      </c>
      <c r="Q372" t="s">
        <v>96</v>
      </c>
      <c r="R372" t="s">
        <v>73</v>
      </c>
      <c r="S372" t="s">
        <v>111</v>
      </c>
      <c r="T372" t="s">
        <v>160</v>
      </c>
      <c r="U372" t="s">
        <v>131</v>
      </c>
      <c r="V372" t="s">
        <v>535</v>
      </c>
    </row>
    <row r="373" spans="13:22" x14ac:dyDescent="0.25">
      <c r="M373">
        <v>353</v>
      </c>
      <c r="N373" t="s">
        <v>105</v>
      </c>
      <c r="O373" t="s">
        <v>138</v>
      </c>
      <c r="P373" t="s">
        <v>82</v>
      </c>
      <c r="Q373" t="s">
        <v>96</v>
      </c>
      <c r="R373" t="s">
        <v>73</v>
      </c>
      <c r="S373" t="s">
        <v>111</v>
      </c>
      <c r="T373" t="s">
        <v>131</v>
      </c>
      <c r="U373" t="s">
        <v>156</v>
      </c>
      <c r="V373" t="s">
        <v>536</v>
      </c>
    </row>
    <row r="374" spans="13:22" x14ac:dyDescent="0.25">
      <c r="M374">
        <v>354</v>
      </c>
      <c r="N374" t="s">
        <v>125</v>
      </c>
      <c r="O374" t="s">
        <v>105</v>
      </c>
      <c r="P374" t="s">
        <v>82</v>
      </c>
      <c r="Q374" t="s">
        <v>96</v>
      </c>
      <c r="R374" t="s">
        <v>73</v>
      </c>
      <c r="S374" t="s">
        <v>111</v>
      </c>
      <c r="T374" t="s">
        <v>160</v>
      </c>
      <c r="U374" t="s">
        <v>156</v>
      </c>
      <c r="V374" t="s">
        <v>537</v>
      </c>
    </row>
    <row r="375" spans="13:22" x14ac:dyDescent="0.25">
      <c r="M375">
        <v>355</v>
      </c>
      <c r="N375" t="s">
        <v>125</v>
      </c>
      <c r="O375" t="s">
        <v>138</v>
      </c>
      <c r="P375" t="s">
        <v>82</v>
      </c>
      <c r="Q375" t="s">
        <v>96</v>
      </c>
      <c r="R375" t="s">
        <v>73</v>
      </c>
      <c r="S375" t="s">
        <v>111</v>
      </c>
      <c r="T375" t="s">
        <v>160</v>
      </c>
      <c r="U375" t="s">
        <v>105</v>
      </c>
      <c r="V375" t="s">
        <v>538</v>
      </c>
    </row>
    <row r="376" spans="13:22" x14ac:dyDescent="0.25">
      <c r="M376">
        <v>356</v>
      </c>
      <c r="N376" t="s">
        <v>125</v>
      </c>
      <c r="O376" t="s">
        <v>138</v>
      </c>
      <c r="P376" t="s">
        <v>82</v>
      </c>
      <c r="Q376" t="s">
        <v>96</v>
      </c>
      <c r="R376" t="s">
        <v>73</v>
      </c>
      <c r="S376" t="s">
        <v>111</v>
      </c>
      <c r="T376" t="s">
        <v>105</v>
      </c>
      <c r="U376" t="s">
        <v>156</v>
      </c>
      <c r="V376" t="s">
        <v>539</v>
      </c>
    </row>
    <row r="377" spans="13:22" x14ac:dyDescent="0.25">
      <c r="M377">
        <v>357</v>
      </c>
      <c r="N377" t="s">
        <v>125</v>
      </c>
      <c r="O377" t="s">
        <v>105</v>
      </c>
      <c r="P377" t="s">
        <v>82</v>
      </c>
      <c r="Q377" t="s">
        <v>96</v>
      </c>
      <c r="R377" t="s">
        <v>73</v>
      </c>
      <c r="S377" t="s">
        <v>111</v>
      </c>
      <c r="T377" t="s">
        <v>160</v>
      </c>
      <c r="U377" t="s">
        <v>131</v>
      </c>
      <c r="V377" t="s">
        <v>540</v>
      </c>
    </row>
    <row r="378" spans="13:22" x14ac:dyDescent="0.25">
      <c r="M378">
        <v>358</v>
      </c>
      <c r="N378" t="s">
        <v>125</v>
      </c>
      <c r="O378" t="s">
        <v>105</v>
      </c>
      <c r="P378" t="s">
        <v>82</v>
      </c>
      <c r="Q378" t="s">
        <v>96</v>
      </c>
      <c r="R378" t="s">
        <v>73</v>
      </c>
      <c r="S378" t="s">
        <v>111</v>
      </c>
      <c r="T378" t="s">
        <v>131</v>
      </c>
      <c r="U378" t="s">
        <v>156</v>
      </c>
      <c r="V378" t="s">
        <v>541</v>
      </c>
    </row>
    <row r="379" spans="13:22" x14ac:dyDescent="0.25">
      <c r="M379">
        <v>359</v>
      </c>
      <c r="N379" t="s">
        <v>125</v>
      </c>
      <c r="O379" t="s">
        <v>138</v>
      </c>
      <c r="P379" t="s">
        <v>82</v>
      </c>
      <c r="Q379" t="s">
        <v>96</v>
      </c>
      <c r="R379" t="s">
        <v>73</v>
      </c>
      <c r="S379" t="s">
        <v>111</v>
      </c>
      <c r="T379" t="s">
        <v>105</v>
      </c>
      <c r="U379" t="s">
        <v>131</v>
      </c>
      <c r="V379" t="s">
        <v>542</v>
      </c>
    </row>
    <row r="380" spans="13:22" x14ac:dyDescent="0.25">
      <c r="M380">
        <v>360</v>
      </c>
      <c r="N380" t="s">
        <v>105</v>
      </c>
      <c r="O380" t="s">
        <v>119</v>
      </c>
      <c r="P380" t="s">
        <v>82</v>
      </c>
      <c r="Q380" t="s">
        <v>96</v>
      </c>
      <c r="R380" t="s">
        <v>73</v>
      </c>
      <c r="S380" t="s">
        <v>111</v>
      </c>
      <c r="T380" t="s">
        <v>160</v>
      </c>
      <c r="U380" t="s">
        <v>156</v>
      </c>
      <c r="V380" t="s">
        <v>543</v>
      </c>
    </row>
    <row r="381" spans="13:22" x14ac:dyDescent="0.25">
      <c r="M381">
        <v>361</v>
      </c>
      <c r="N381" t="s">
        <v>105</v>
      </c>
      <c r="O381" t="s">
        <v>119</v>
      </c>
      <c r="P381" t="s">
        <v>82</v>
      </c>
      <c r="Q381" t="s">
        <v>96</v>
      </c>
      <c r="R381" t="s">
        <v>73</v>
      </c>
      <c r="S381" t="s">
        <v>111</v>
      </c>
      <c r="T381" t="s">
        <v>160</v>
      </c>
      <c r="U381" t="s">
        <v>138</v>
      </c>
      <c r="V381" t="s">
        <v>544</v>
      </c>
    </row>
    <row r="382" spans="13:22" x14ac:dyDescent="0.25">
      <c r="M382">
        <v>362</v>
      </c>
      <c r="N382" t="s">
        <v>105</v>
      </c>
      <c r="O382" t="s">
        <v>119</v>
      </c>
      <c r="P382" t="s">
        <v>82</v>
      </c>
      <c r="Q382" t="s">
        <v>96</v>
      </c>
      <c r="R382" t="s">
        <v>73</v>
      </c>
      <c r="S382" t="s">
        <v>111</v>
      </c>
      <c r="T382" t="s">
        <v>138</v>
      </c>
      <c r="U382" t="s">
        <v>156</v>
      </c>
      <c r="V382" t="s">
        <v>545</v>
      </c>
    </row>
    <row r="383" spans="13:22" x14ac:dyDescent="0.25">
      <c r="M383">
        <v>363</v>
      </c>
      <c r="N383" t="s">
        <v>105</v>
      </c>
      <c r="O383" t="s">
        <v>119</v>
      </c>
      <c r="P383" t="s">
        <v>82</v>
      </c>
      <c r="Q383" t="s">
        <v>96</v>
      </c>
      <c r="R383" t="s">
        <v>73</v>
      </c>
      <c r="S383" t="s">
        <v>111</v>
      </c>
      <c r="T383" t="s">
        <v>160</v>
      </c>
      <c r="U383" t="s">
        <v>131</v>
      </c>
      <c r="V383" t="s">
        <v>546</v>
      </c>
    </row>
    <row r="384" spans="13:22" x14ac:dyDescent="0.25">
      <c r="M384">
        <v>364</v>
      </c>
      <c r="N384" t="s">
        <v>105</v>
      </c>
      <c r="O384" t="s">
        <v>119</v>
      </c>
      <c r="P384" t="s">
        <v>82</v>
      </c>
      <c r="Q384" t="s">
        <v>96</v>
      </c>
      <c r="R384" t="s">
        <v>73</v>
      </c>
      <c r="S384" t="s">
        <v>111</v>
      </c>
      <c r="T384" t="s">
        <v>131</v>
      </c>
      <c r="U384" t="s">
        <v>156</v>
      </c>
      <c r="V384" t="s">
        <v>547</v>
      </c>
    </row>
    <row r="385" spans="13:22" x14ac:dyDescent="0.25">
      <c r="M385">
        <v>365</v>
      </c>
      <c r="N385" t="s">
        <v>105</v>
      </c>
      <c r="O385" t="s">
        <v>119</v>
      </c>
      <c r="P385" t="s">
        <v>82</v>
      </c>
      <c r="Q385" t="s">
        <v>96</v>
      </c>
      <c r="R385" t="s">
        <v>73</v>
      </c>
      <c r="S385" t="s">
        <v>111</v>
      </c>
      <c r="T385" t="s">
        <v>131</v>
      </c>
      <c r="U385" t="s">
        <v>138</v>
      </c>
      <c r="V385" t="s">
        <v>548</v>
      </c>
    </row>
    <row r="386" spans="13:22" x14ac:dyDescent="0.25">
      <c r="M386">
        <v>366</v>
      </c>
      <c r="N386" t="s">
        <v>125</v>
      </c>
      <c r="O386" t="s">
        <v>119</v>
      </c>
      <c r="P386" t="s">
        <v>82</v>
      </c>
      <c r="Q386" t="s">
        <v>96</v>
      </c>
      <c r="R386" t="s">
        <v>73</v>
      </c>
      <c r="S386" t="s">
        <v>111</v>
      </c>
      <c r="T386" t="s">
        <v>160</v>
      </c>
      <c r="U386" t="s">
        <v>105</v>
      </c>
      <c r="V386" t="s">
        <v>549</v>
      </c>
    </row>
    <row r="387" spans="13:22" x14ac:dyDescent="0.25">
      <c r="M387">
        <v>367</v>
      </c>
      <c r="N387" t="s">
        <v>125</v>
      </c>
      <c r="O387" t="s">
        <v>119</v>
      </c>
      <c r="P387" t="s">
        <v>82</v>
      </c>
      <c r="Q387" t="s">
        <v>96</v>
      </c>
      <c r="R387" t="s">
        <v>73</v>
      </c>
      <c r="S387" t="s">
        <v>111</v>
      </c>
      <c r="T387" t="s">
        <v>105</v>
      </c>
      <c r="U387" t="s">
        <v>156</v>
      </c>
      <c r="V387" t="s">
        <v>550</v>
      </c>
    </row>
    <row r="388" spans="13:22" x14ac:dyDescent="0.25">
      <c r="M388">
        <v>368</v>
      </c>
      <c r="N388" t="s">
        <v>125</v>
      </c>
      <c r="O388" t="s">
        <v>119</v>
      </c>
      <c r="P388" t="s">
        <v>82</v>
      </c>
      <c r="Q388" t="s">
        <v>96</v>
      </c>
      <c r="R388" t="s">
        <v>73</v>
      </c>
      <c r="S388" t="s">
        <v>111</v>
      </c>
      <c r="T388" t="s">
        <v>105</v>
      </c>
      <c r="U388" t="s">
        <v>138</v>
      </c>
      <c r="V388" t="s">
        <v>551</v>
      </c>
    </row>
    <row r="389" spans="13:22" x14ac:dyDescent="0.25">
      <c r="M389">
        <v>369</v>
      </c>
      <c r="N389" t="s">
        <v>125</v>
      </c>
      <c r="O389" t="s">
        <v>119</v>
      </c>
      <c r="P389" t="s">
        <v>82</v>
      </c>
      <c r="Q389" t="s">
        <v>96</v>
      </c>
      <c r="R389" t="s">
        <v>73</v>
      </c>
      <c r="S389" t="s">
        <v>111</v>
      </c>
      <c r="T389" t="s">
        <v>105</v>
      </c>
      <c r="U389" t="s">
        <v>131</v>
      </c>
      <c r="V389" t="s">
        <v>552</v>
      </c>
    </row>
    <row r="390" spans="13:22" x14ac:dyDescent="0.25">
      <c r="M390">
        <v>370</v>
      </c>
      <c r="N390" t="s">
        <v>131</v>
      </c>
      <c r="O390" t="s">
        <v>138</v>
      </c>
      <c r="P390" t="s">
        <v>82</v>
      </c>
      <c r="Q390" t="s">
        <v>89</v>
      </c>
      <c r="R390" t="s">
        <v>73</v>
      </c>
      <c r="S390" t="s">
        <v>125</v>
      </c>
      <c r="T390" t="s">
        <v>160</v>
      </c>
      <c r="U390" t="s">
        <v>156</v>
      </c>
      <c r="V390" t="s">
        <v>553</v>
      </c>
    </row>
    <row r="391" spans="13:22" x14ac:dyDescent="0.25">
      <c r="M391">
        <v>371</v>
      </c>
      <c r="N391" t="s">
        <v>131</v>
      </c>
      <c r="O391" t="s">
        <v>138</v>
      </c>
      <c r="P391" t="s">
        <v>82</v>
      </c>
      <c r="Q391" t="s">
        <v>89</v>
      </c>
      <c r="R391" t="s">
        <v>73</v>
      </c>
      <c r="S391" t="s">
        <v>119</v>
      </c>
      <c r="T391" t="s">
        <v>160</v>
      </c>
      <c r="U391" t="s">
        <v>156</v>
      </c>
      <c r="V391" t="s">
        <v>554</v>
      </c>
    </row>
    <row r="392" spans="13:22" x14ac:dyDescent="0.25">
      <c r="M392">
        <v>372</v>
      </c>
      <c r="N392" t="s">
        <v>125</v>
      </c>
      <c r="O392" t="s">
        <v>138</v>
      </c>
      <c r="P392" t="s">
        <v>82</v>
      </c>
      <c r="Q392" t="s">
        <v>89</v>
      </c>
      <c r="R392" t="s">
        <v>73</v>
      </c>
      <c r="S392" t="s">
        <v>119</v>
      </c>
      <c r="T392" t="s">
        <v>160</v>
      </c>
      <c r="U392" t="s">
        <v>156</v>
      </c>
      <c r="V392" t="s">
        <v>555</v>
      </c>
    </row>
    <row r="393" spans="13:22" x14ac:dyDescent="0.25">
      <c r="M393">
        <v>373</v>
      </c>
      <c r="N393" t="s">
        <v>131</v>
      </c>
      <c r="O393" t="s">
        <v>119</v>
      </c>
      <c r="P393" t="s">
        <v>82</v>
      </c>
      <c r="Q393" t="s">
        <v>89</v>
      </c>
      <c r="R393" t="s">
        <v>73</v>
      </c>
      <c r="S393" t="s">
        <v>125</v>
      </c>
      <c r="T393" t="s">
        <v>160</v>
      </c>
      <c r="U393" t="s">
        <v>156</v>
      </c>
      <c r="V393" t="s">
        <v>556</v>
      </c>
    </row>
    <row r="394" spans="13:22" x14ac:dyDescent="0.25">
      <c r="M394">
        <v>374</v>
      </c>
      <c r="N394" t="s">
        <v>125</v>
      </c>
      <c r="O394" t="s">
        <v>138</v>
      </c>
      <c r="P394" t="s">
        <v>82</v>
      </c>
      <c r="Q394" t="s">
        <v>89</v>
      </c>
      <c r="R394" t="s">
        <v>73</v>
      </c>
      <c r="S394" t="s">
        <v>119</v>
      </c>
      <c r="T394" t="s">
        <v>160</v>
      </c>
      <c r="U394" t="s">
        <v>131</v>
      </c>
      <c r="V394" t="s">
        <v>557</v>
      </c>
    </row>
    <row r="395" spans="13:22" x14ac:dyDescent="0.25">
      <c r="M395">
        <v>375</v>
      </c>
      <c r="N395" t="s">
        <v>125</v>
      </c>
      <c r="O395" t="s">
        <v>138</v>
      </c>
      <c r="P395" t="s">
        <v>82</v>
      </c>
      <c r="Q395" t="s">
        <v>89</v>
      </c>
      <c r="R395" t="s">
        <v>73</v>
      </c>
      <c r="S395" t="s">
        <v>119</v>
      </c>
      <c r="T395" t="s">
        <v>131</v>
      </c>
      <c r="U395" t="s">
        <v>156</v>
      </c>
      <c r="V395" t="s">
        <v>558</v>
      </c>
    </row>
    <row r="396" spans="13:22" x14ac:dyDescent="0.25">
      <c r="M396">
        <v>376</v>
      </c>
      <c r="N396" t="s">
        <v>131</v>
      </c>
      <c r="O396" t="s">
        <v>138</v>
      </c>
      <c r="P396" t="s">
        <v>82</v>
      </c>
      <c r="Q396" t="s">
        <v>89</v>
      </c>
      <c r="R396" t="s">
        <v>73</v>
      </c>
      <c r="S396" t="s">
        <v>111</v>
      </c>
      <c r="T396" t="s">
        <v>160</v>
      </c>
      <c r="U396" t="s">
        <v>156</v>
      </c>
      <c r="V396" t="s">
        <v>559</v>
      </c>
    </row>
    <row r="397" spans="13:22" x14ac:dyDescent="0.25">
      <c r="M397">
        <v>377</v>
      </c>
      <c r="N397" t="s">
        <v>125</v>
      </c>
      <c r="O397" t="s">
        <v>138</v>
      </c>
      <c r="P397" t="s">
        <v>82</v>
      </c>
      <c r="Q397" t="s">
        <v>89</v>
      </c>
      <c r="R397" t="s">
        <v>73</v>
      </c>
      <c r="S397" t="s">
        <v>111</v>
      </c>
      <c r="T397" t="s">
        <v>160</v>
      </c>
      <c r="U397" t="s">
        <v>156</v>
      </c>
      <c r="V397" t="s">
        <v>560</v>
      </c>
    </row>
    <row r="398" spans="13:22" x14ac:dyDescent="0.25">
      <c r="M398">
        <v>378</v>
      </c>
      <c r="N398" t="s">
        <v>125</v>
      </c>
      <c r="O398" t="s">
        <v>131</v>
      </c>
      <c r="P398" t="s">
        <v>82</v>
      </c>
      <c r="Q398" t="s">
        <v>89</v>
      </c>
      <c r="R398" t="s">
        <v>73</v>
      </c>
      <c r="S398" t="s">
        <v>111</v>
      </c>
      <c r="T398" t="s">
        <v>160</v>
      </c>
      <c r="U398" t="s">
        <v>156</v>
      </c>
      <c r="V398" t="s">
        <v>561</v>
      </c>
    </row>
    <row r="399" spans="13:22" x14ac:dyDescent="0.25">
      <c r="M399">
        <v>379</v>
      </c>
      <c r="N399" t="s">
        <v>125</v>
      </c>
      <c r="O399" t="s">
        <v>138</v>
      </c>
      <c r="P399" t="s">
        <v>82</v>
      </c>
      <c r="Q399" t="s">
        <v>89</v>
      </c>
      <c r="R399" t="s">
        <v>73</v>
      </c>
      <c r="S399" t="s">
        <v>111</v>
      </c>
      <c r="T399" t="s">
        <v>160</v>
      </c>
      <c r="U399" t="s">
        <v>131</v>
      </c>
      <c r="V399" t="s">
        <v>562</v>
      </c>
    </row>
    <row r="400" spans="13:22" x14ac:dyDescent="0.25">
      <c r="M400">
        <v>380</v>
      </c>
      <c r="N400" t="s">
        <v>125</v>
      </c>
      <c r="O400" t="s">
        <v>138</v>
      </c>
      <c r="P400" t="s">
        <v>82</v>
      </c>
      <c r="Q400" t="s">
        <v>89</v>
      </c>
      <c r="R400" t="s">
        <v>73</v>
      </c>
      <c r="S400" t="s">
        <v>111</v>
      </c>
      <c r="T400" t="s">
        <v>131</v>
      </c>
      <c r="U400" t="s">
        <v>156</v>
      </c>
      <c r="V400" t="s">
        <v>563</v>
      </c>
    </row>
    <row r="401" spans="13:22" x14ac:dyDescent="0.25">
      <c r="M401">
        <v>381</v>
      </c>
      <c r="N401" t="s">
        <v>89</v>
      </c>
      <c r="O401" t="s">
        <v>138</v>
      </c>
      <c r="P401" t="s">
        <v>82</v>
      </c>
      <c r="Q401" t="s">
        <v>111</v>
      </c>
      <c r="R401" t="s">
        <v>73</v>
      </c>
      <c r="S401" t="s">
        <v>119</v>
      </c>
      <c r="T401" t="s">
        <v>160</v>
      </c>
      <c r="U401" t="s">
        <v>156</v>
      </c>
      <c r="V401" t="s">
        <v>564</v>
      </c>
    </row>
    <row r="402" spans="13:22" x14ac:dyDescent="0.25">
      <c r="M402">
        <v>382</v>
      </c>
      <c r="N402" t="s">
        <v>131</v>
      </c>
      <c r="O402" t="s">
        <v>119</v>
      </c>
      <c r="P402" t="s">
        <v>82</v>
      </c>
      <c r="Q402" t="s">
        <v>89</v>
      </c>
      <c r="R402" t="s">
        <v>73</v>
      </c>
      <c r="S402" t="s">
        <v>111</v>
      </c>
      <c r="T402" t="s">
        <v>160</v>
      </c>
      <c r="U402" t="s">
        <v>156</v>
      </c>
      <c r="V402" t="s">
        <v>565</v>
      </c>
    </row>
    <row r="403" spans="13:22" x14ac:dyDescent="0.25">
      <c r="M403">
        <v>383</v>
      </c>
      <c r="N403" t="s">
        <v>89</v>
      </c>
      <c r="O403" t="s">
        <v>138</v>
      </c>
      <c r="P403" t="s">
        <v>82</v>
      </c>
      <c r="Q403" t="s">
        <v>111</v>
      </c>
      <c r="R403" t="s">
        <v>73</v>
      </c>
      <c r="S403" t="s">
        <v>119</v>
      </c>
      <c r="T403" t="s">
        <v>160</v>
      </c>
      <c r="U403" t="s">
        <v>131</v>
      </c>
      <c r="V403" t="s">
        <v>566</v>
      </c>
    </row>
    <row r="404" spans="13:22" x14ac:dyDescent="0.25">
      <c r="M404">
        <v>384</v>
      </c>
      <c r="N404" t="s">
        <v>89</v>
      </c>
      <c r="O404" t="s">
        <v>138</v>
      </c>
      <c r="P404" t="s">
        <v>82</v>
      </c>
      <c r="Q404" t="s">
        <v>111</v>
      </c>
      <c r="R404" t="s">
        <v>73</v>
      </c>
      <c r="S404" t="s">
        <v>119</v>
      </c>
      <c r="T404" t="s">
        <v>131</v>
      </c>
      <c r="U404" t="s">
        <v>156</v>
      </c>
      <c r="V404" t="s">
        <v>567</v>
      </c>
    </row>
    <row r="405" spans="13:22" x14ac:dyDescent="0.25">
      <c r="M405">
        <v>385</v>
      </c>
      <c r="N405" t="s">
        <v>125</v>
      </c>
      <c r="O405" t="s">
        <v>119</v>
      </c>
      <c r="P405" t="s">
        <v>82</v>
      </c>
      <c r="Q405" t="s">
        <v>89</v>
      </c>
      <c r="R405" t="s">
        <v>73</v>
      </c>
      <c r="S405" t="s">
        <v>111</v>
      </c>
      <c r="T405" t="s">
        <v>160</v>
      </c>
      <c r="U405" t="s">
        <v>156</v>
      </c>
      <c r="V405" t="s">
        <v>568</v>
      </c>
    </row>
    <row r="406" spans="13:22" x14ac:dyDescent="0.25">
      <c r="M406">
        <v>386</v>
      </c>
      <c r="N406" t="s">
        <v>125</v>
      </c>
      <c r="O406" t="s">
        <v>119</v>
      </c>
      <c r="P406" t="s">
        <v>82</v>
      </c>
      <c r="Q406" t="s">
        <v>89</v>
      </c>
      <c r="R406" t="s">
        <v>73</v>
      </c>
      <c r="S406" t="s">
        <v>111</v>
      </c>
      <c r="T406" t="s">
        <v>160</v>
      </c>
      <c r="U406" t="s">
        <v>138</v>
      </c>
      <c r="V406" t="s">
        <v>569</v>
      </c>
    </row>
    <row r="407" spans="13:22" x14ac:dyDescent="0.25">
      <c r="M407">
        <v>387</v>
      </c>
      <c r="N407" t="s">
        <v>125</v>
      </c>
      <c r="O407" t="s">
        <v>119</v>
      </c>
      <c r="P407" t="s">
        <v>82</v>
      </c>
      <c r="Q407" t="s">
        <v>89</v>
      </c>
      <c r="R407" t="s">
        <v>73</v>
      </c>
      <c r="S407" t="s">
        <v>111</v>
      </c>
      <c r="T407" t="s">
        <v>138</v>
      </c>
      <c r="U407" t="s">
        <v>156</v>
      </c>
      <c r="V407" t="s">
        <v>570</v>
      </c>
    </row>
    <row r="408" spans="13:22" x14ac:dyDescent="0.25">
      <c r="M408">
        <v>388</v>
      </c>
      <c r="N408" t="s">
        <v>125</v>
      </c>
      <c r="O408" t="s">
        <v>119</v>
      </c>
      <c r="P408" t="s">
        <v>82</v>
      </c>
      <c r="Q408" t="s">
        <v>89</v>
      </c>
      <c r="R408" t="s">
        <v>73</v>
      </c>
      <c r="S408" t="s">
        <v>111</v>
      </c>
      <c r="T408" t="s">
        <v>160</v>
      </c>
      <c r="U408" t="s">
        <v>131</v>
      </c>
      <c r="V408" t="s">
        <v>571</v>
      </c>
    </row>
    <row r="409" spans="13:22" x14ac:dyDescent="0.25">
      <c r="M409">
        <v>389</v>
      </c>
      <c r="N409" t="s">
        <v>125</v>
      </c>
      <c r="O409" t="s">
        <v>119</v>
      </c>
      <c r="P409" t="s">
        <v>82</v>
      </c>
      <c r="Q409" t="s">
        <v>89</v>
      </c>
      <c r="R409" t="s">
        <v>73</v>
      </c>
      <c r="S409" t="s">
        <v>111</v>
      </c>
      <c r="T409" t="s">
        <v>131</v>
      </c>
      <c r="U409" t="s">
        <v>156</v>
      </c>
      <c r="V409" t="s">
        <v>572</v>
      </c>
    </row>
    <row r="410" spans="13:22" x14ac:dyDescent="0.25">
      <c r="M410">
        <v>390</v>
      </c>
      <c r="N410" t="s">
        <v>125</v>
      </c>
      <c r="O410" t="s">
        <v>119</v>
      </c>
      <c r="P410" t="s">
        <v>82</v>
      </c>
      <c r="Q410" t="s">
        <v>89</v>
      </c>
      <c r="R410" t="s">
        <v>73</v>
      </c>
      <c r="S410" t="s">
        <v>111</v>
      </c>
      <c r="T410" t="s">
        <v>131</v>
      </c>
      <c r="U410" t="s">
        <v>138</v>
      </c>
      <c r="V410" t="s">
        <v>573</v>
      </c>
    </row>
    <row r="411" spans="13:22" x14ac:dyDescent="0.25">
      <c r="M411">
        <v>391</v>
      </c>
      <c r="N411" t="s">
        <v>105</v>
      </c>
      <c r="O411" t="s">
        <v>138</v>
      </c>
      <c r="P411" t="s">
        <v>82</v>
      </c>
      <c r="Q411" t="s">
        <v>73</v>
      </c>
      <c r="R411" t="s">
        <v>131</v>
      </c>
      <c r="S411" t="s">
        <v>89</v>
      </c>
      <c r="T411" t="s">
        <v>160</v>
      </c>
      <c r="U411" t="s">
        <v>156</v>
      </c>
      <c r="V411" t="s">
        <v>574</v>
      </c>
    </row>
    <row r="412" spans="13:22" x14ac:dyDescent="0.25">
      <c r="M412">
        <v>392</v>
      </c>
      <c r="N412" t="s">
        <v>105</v>
      </c>
      <c r="O412" t="s">
        <v>138</v>
      </c>
      <c r="P412" t="s">
        <v>82</v>
      </c>
      <c r="Q412" t="s">
        <v>89</v>
      </c>
      <c r="R412" t="s">
        <v>73</v>
      </c>
      <c r="S412" t="s">
        <v>125</v>
      </c>
      <c r="T412" t="s">
        <v>160</v>
      </c>
      <c r="U412" t="s">
        <v>156</v>
      </c>
      <c r="V412" t="s">
        <v>575</v>
      </c>
    </row>
    <row r="413" spans="13:22" x14ac:dyDescent="0.25">
      <c r="M413">
        <v>393</v>
      </c>
      <c r="N413" t="s">
        <v>105</v>
      </c>
      <c r="O413" t="s">
        <v>131</v>
      </c>
      <c r="P413" t="s">
        <v>82</v>
      </c>
      <c r="Q413" t="s">
        <v>89</v>
      </c>
      <c r="R413" t="s">
        <v>73</v>
      </c>
      <c r="S413" t="s">
        <v>125</v>
      </c>
      <c r="T413" t="s">
        <v>160</v>
      </c>
      <c r="U413" t="s">
        <v>156</v>
      </c>
      <c r="V413" t="s">
        <v>576</v>
      </c>
    </row>
    <row r="414" spans="13:22" x14ac:dyDescent="0.25">
      <c r="M414">
        <v>394</v>
      </c>
      <c r="N414" t="s">
        <v>105</v>
      </c>
      <c r="O414" t="s">
        <v>138</v>
      </c>
      <c r="P414" t="s">
        <v>82</v>
      </c>
      <c r="Q414" t="s">
        <v>89</v>
      </c>
      <c r="R414" t="s">
        <v>73</v>
      </c>
      <c r="S414" t="s">
        <v>125</v>
      </c>
      <c r="T414" t="s">
        <v>160</v>
      </c>
      <c r="U414" t="s">
        <v>131</v>
      </c>
      <c r="V414" t="s">
        <v>577</v>
      </c>
    </row>
    <row r="415" spans="13:22" x14ac:dyDescent="0.25">
      <c r="M415">
        <v>395</v>
      </c>
      <c r="N415" t="s">
        <v>105</v>
      </c>
      <c r="O415" t="s">
        <v>138</v>
      </c>
      <c r="P415" t="s">
        <v>82</v>
      </c>
      <c r="Q415" t="s">
        <v>89</v>
      </c>
      <c r="R415" t="s">
        <v>73</v>
      </c>
      <c r="S415" t="s">
        <v>125</v>
      </c>
      <c r="T415" t="s">
        <v>131</v>
      </c>
      <c r="U415" t="s">
        <v>156</v>
      </c>
      <c r="V415" t="s">
        <v>578</v>
      </c>
    </row>
    <row r="416" spans="13:22" x14ac:dyDescent="0.25">
      <c r="M416">
        <v>396</v>
      </c>
      <c r="N416" t="s">
        <v>105</v>
      </c>
      <c r="O416" t="s">
        <v>138</v>
      </c>
      <c r="P416" t="s">
        <v>82</v>
      </c>
      <c r="Q416" t="s">
        <v>89</v>
      </c>
      <c r="R416" t="s">
        <v>73</v>
      </c>
      <c r="S416" t="s">
        <v>119</v>
      </c>
      <c r="T416" t="s">
        <v>160</v>
      </c>
      <c r="U416" t="s">
        <v>156</v>
      </c>
      <c r="V416" t="s">
        <v>579</v>
      </c>
    </row>
    <row r="417" spans="13:22" x14ac:dyDescent="0.25">
      <c r="M417">
        <v>397</v>
      </c>
      <c r="N417" t="s">
        <v>105</v>
      </c>
      <c r="O417" t="s">
        <v>119</v>
      </c>
      <c r="P417" t="s">
        <v>82</v>
      </c>
      <c r="Q417" t="s">
        <v>73</v>
      </c>
      <c r="R417" t="s">
        <v>131</v>
      </c>
      <c r="S417" t="s">
        <v>89</v>
      </c>
      <c r="T417" t="s">
        <v>160</v>
      </c>
      <c r="U417" t="s">
        <v>156</v>
      </c>
      <c r="V417" t="s">
        <v>580</v>
      </c>
    </row>
    <row r="418" spans="13:22" x14ac:dyDescent="0.25">
      <c r="M418">
        <v>398</v>
      </c>
      <c r="N418" t="s">
        <v>105</v>
      </c>
      <c r="O418" t="s">
        <v>138</v>
      </c>
      <c r="P418" t="s">
        <v>82</v>
      </c>
      <c r="Q418" t="s">
        <v>89</v>
      </c>
      <c r="R418" t="s">
        <v>73</v>
      </c>
      <c r="S418" t="s">
        <v>119</v>
      </c>
      <c r="T418" t="s">
        <v>160</v>
      </c>
      <c r="U418" t="s">
        <v>131</v>
      </c>
      <c r="V418" t="s">
        <v>581</v>
      </c>
    </row>
    <row r="419" spans="13:22" x14ac:dyDescent="0.25">
      <c r="M419">
        <v>399</v>
      </c>
      <c r="N419" t="s">
        <v>105</v>
      </c>
      <c r="O419" t="s">
        <v>138</v>
      </c>
      <c r="P419" t="s">
        <v>82</v>
      </c>
      <c r="Q419" t="s">
        <v>89</v>
      </c>
      <c r="R419" t="s">
        <v>73</v>
      </c>
      <c r="S419" t="s">
        <v>119</v>
      </c>
      <c r="T419" t="s">
        <v>131</v>
      </c>
      <c r="U419" t="s">
        <v>156</v>
      </c>
      <c r="V419" t="s">
        <v>582</v>
      </c>
    </row>
    <row r="420" spans="13:22" x14ac:dyDescent="0.25">
      <c r="M420">
        <v>400</v>
      </c>
      <c r="N420" t="s">
        <v>105</v>
      </c>
      <c r="O420" t="s">
        <v>119</v>
      </c>
      <c r="P420" t="s">
        <v>82</v>
      </c>
      <c r="Q420" t="s">
        <v>89</v>
      </c>
      <c r="R420" t="s">
        <v>73</v>
      </c>
      <c r="S420" t="s">
        <v>125</v>
      </c>
      <c r="T420" t="s">
        <v>160</v>
      </c>
      <c r="U420" t="s">
        <v>156</v>
      </c>
      <c r="V420" t="s">
        <v>583</v>
      </c>
    </row>
    <row r="421" spans="13:22" x14ac:dyDescent="0.25">
      <c r="M421">
        <v>401</v>
      </c>
      <c r="N421" t="s">
        <v>125</v>
      </c>
      <c r="O421" t="s">
        <v>138</v>
      </c>
      <c r="P421" t="s">
        <v>82</v>
      </c>
      <c r="Q421" t="s">
        <v>89</v>
      </c>
      <c r="R421" t="s">
        <v>73</v>
      </c>
      <c r="S421" t="s">
        <v>119</v>
      </c>
      <c r="T421" t="s">
        <v>160</v>
      </c>
      <c r="U421" t="s">
        <v>105</v>
      </c>
      <c r="V421" t="s">
        <v>584</v>
      </c>
    </row>
    <row r="422" spans="13:22" x14ac:dyDescent="0.25">
      <c r="M422">
        <v>402</v>
      </c>
      <c r="N422" t="s">
        <v>125</v>
      </c>
      <c r="O422" t="s">
        <v>138</v>
      </c>
      <c r="P422" t="s">
        <v>82</v>
      </c>
      <c r="Q422" t="s">
        <v>89</v>
      </c>
      <c r="R422" t="s">
        <v>73</v>
      </c>
      <c r="S422" t="s">
        <v>119</v>
      </c>
      <c r="T422" t="s">
        <v>105</v>
      </c>
      <c r="U422" t="s">
        <v>156</v>
      </c>
      <c r="V422" t="s">
        <v>585</v>
      </c>
    </row>
    <row r="423" spans="13:22" x14ac:dyDescent="0.25">
      <c r="M423">
        <v>403</v>
      </c>
      <c r="N423" t="s">
        <v>105</v>
      </c>
      <c r="O423" t="s">
        <v>119</v>
      </c>
      <c r="P423" t="s">
        <v>82</v>
      </c>
      <c r="Q423" t="s">
        <v>89</v>
      </c>
      <c r="R423" t="s">
        <v>73</v>
      </c>
      <c r="S423" t="s">
        <v>125</v>
      </c>
      <c r="T423" t="s">
        <v>160</v>
      </c>
      <c r="U423" t="s">
        <v>131</v>
      </c>
      <c r="V423" t="s">
        <v>586</v>
      </c>
    </row>
    <row r="424" spans="13:22" x14ac:dyDescent="0.25">
      <c r="M424">
        <v>404</v>
      </c>
      <c r="N424" t="s">
        <v>105</v>
      </c>
      <c r="O424" t="s">
        <v>119</v>
      </c>
      <c r="P424" t="s">
        <v>82</v>
      </c>
      <c r="Q424" t="s">
        <v>89</v>
      </c>
      <c r="R424" t="s">
        <v>73</v>
      </c>
      <c r="S424" t="s">
        <v>125</v>
      </c>
      <c r="T424" t="s">
        <v>131</v>
      </c>
      <c r="U424" t="s">
        <v>156</v>
      </c>
      <c r="V424" t="s">
        <v>587</v>
      </c>
    </row>
    <row r="425" spans="13:22" x14ac:dyDescent="0.25">
      <c r="M425">
        <v>405</v>
      </c>
      <c r="N425" t="s">
        <v>125</v>
      </c>
      <c r="O425" t="s">
        <v>138</v>
      </c>
      <c r="P425" t="s">
        <v>82</v>
      </c>
      <c r="Q425" t="s">
        <v>89</v>
      </c>
      <c r="R425" t="s">
        <v>73</v>
      </c>
      <c r="S425" t="s">
        <v>119</v>
      </c>
      <c r="T425" t="s">
        <v>105</v>
      </c>
      <c r="U425" t="s">
        <v>131</v>
      </c>
      <c r="V425" t="s">
        <v>588</v>
      </c>
    </row>
    <row r="426" spans="13:22" x14ac:dyDescent="0.25">
      <c r="M426">
        <v>406</v>
      </c>
      <c r="N426" t="s">
        <v>105</v>
      </c>
      <c r="O426" t="s">
        <v>138</v>
      </c>
      <c r="P426" t="s">
        <v>82</v>
      </c>
      <c r="Q426" t="s">
        <v>89</v>
      </c>
      <c r="R426" t="s">
        <v>73</v>
      </c>
      <c r="S426" t="s">
        <v>111</v>
      </c>
      <c r="T426" t="s">
        <v>160</v>
      </c>
      <c r="U426" t="s">
        <v>156</v>
      </c>
      <c r="V426" t="s">
        <v>589</v>
      </c>
    </row>
    <row r="427" spans="13:22" x14ac:dyDescent="0.25">
      <c r="M427">
        <v>407</v>
      </c>
      <c r="N427" t="s">
        <v>105</v>
      </c>
      <c r="O427" t="s">
        <v>131</v>
      </c>
      <c r="P427" t="s">
        <v>82</v>
      </c>
      <c r="Q427" t="s">
        <v>89</v>
      </c>
      <c r="R427" t="s">
        <v>73</v>
      </c>
      <c r="S427" t="s">
        <v>111</v>
      </c>
      <c r="T427" t="s">
        <v>160</v>
      </c>
      <c r="U427" t="s">
        <v>156</v>
      </c>
      <c r="V427" t="s">
        <v>590</v>
      </c>
    </row>
    <row r="428" spans="13:22" x14ac:dyDescent="0.25">
      <c r="M428">
        <v>408</v>
      </c>
      <c r="N428" t="s">
        <v>105</v>
      </c>
      <c r="O428" t="s">
        <v>138</v>
      </c>
      <c r="P428" t="s">
        <v>82</v>
      </c>
      <c r="Q428" t="s">
        <v>89</v>
      </c>
      <c r="R428" t="s">
        <v>73</v>
      </c>
      <c r="S428" t="s">
        <v>111</v>
      </c>
      <c r="T428" t="s">
        <v>160</v>
      </c>
      <c r="U428" t="s">
        <v>131</v>
      </c>
      <c r="V428" t="s">
        <v>591</v>
      </c>
    </row>
    <row r="429" spans="13:22" x14ac:dyDescent="0.25">
      <c r="M429">
        <v>409</v>
      </c>
      <c r="N429" t="s">
        <v>105</v>
      </c>
      <c r="O429" t="s">
        <v>138</v>
      </c>
      <c r="P429" t="s">
        <v>82</v>
      </c>
      <c r="Q429" t="s">
        <v>89</v>
      </c>
      <c r="R429" t="s">
        <v>73</v>
      </c>
      <c r="S429" t="s">
        <v>111</v>
      </c>
      <c r="T429" t="s">
        <v>131</v>
      </c>
      <c r="U429" t="s">
        <v>156</v>
      </c>
      <c r="V429" t="s">
        <v>592</v>
      </c>
    </row>
    <row r="430" spans="13:22" x14ac:dyDescent="0.25">
      <c r="M430">
        <v>410</v>
      </c>
      <c r="N430" t="s">
        <v>125</v>
      </c>
      <c r="O430" t="s">
        <v>105</v>
      </c>
      <c r="P430" t="s">
        <v>82</v>
      </c>
      <c r="Q430" t="s">
        <v>89</v>
      </c>
      <c r="R430" t="s">
        <v>73</v>
      </c>
      <c r="S430" t="s">
        <v>111</v>
      </c>
      <c r="T430" t="s">
        <v>160</v>
      </c>
      <c r="U430" t="s">
        <v>156</v>
      </c>
      <c r="V430" t="s">
        <v>593</v>
      </c>
    </row>
    <row r="431" spans="13:22" x14ac:dyDescent="0.25">
      <c r="M431">
        <v>411</v>
      </c>
      <c r="N431" t="s">
        <v>125</v>
      </c>
      <c r="O431" t="s">
        <v>138</v>
      </c>
      <c r="P431" t="s">
        <v>82</v>
      </c>
      <c r="Q431" t="s">
        <v>89</v>
      </c>
      <c r="R431" t="s">
        <v>73</v>
      </c>
      <c r="S431" t="s">
        <v>111</v>
      </c>
      <c r="T431" t="s">
        <v>160</v>
      </c>
      <c r="U431" t="s">
        <v>105</v>
      </c>
      <c r="V431" t="s">
        <v>594</v>
      </c>
    </row>
    <row r="432" spans="13:22" x14ac:dyDescent="0.25">
      <c r="M432">
        <v>412</v>
      </c>
      <c r="N432" t="s">
        <v>125</v>
      </c>
      <c r="O432" t="s">
        <v>138</v>
      </c>
      <c r="P432" t="s">
        <v>82</v>
      </c>
      <c r="Q432" t="s">
        <v>89</v>
      </c>
      <c r="R432" t="s">
        <v>73</v>
      </c>
      <c r="S432" t="s">
        <v>111</v>
      </c>
      <c r="T432" t="s">
        <v>105</v>
      </c>
      <c r="U432" t="s">
        <v>156</v>
      </c>
      <c r="V432" t="s">
        <v>595</v>
      </c>
    </row>
    <row r="433" spans="13:22" x14ac:dyDescent="0.25">
      <c r="M433">
        <v>413</v>
      </c>
      <c r="N433" t="s">
        <v>125</v>
      </c>
      <c r="O433" t="s">
        <v>105</v>
      </c>
      <c r="P433" t="s">
        <v>82</v>
      </c>
      <c r="Q433" t="s">
        <v>89</v>
      </c>
      <c r="R433" t="s">
        <v>73</v>
      </c>
      <c r="S433" t="s">
        <v>111</v>
      </c>
      <c r="T433" t="s">
        <v>160</v>
      </c>
      <c r="U433" t="s">
        <v>131</v>
      </c>
      <c r="V433" t="s">
        <v>596</v>
      </c>
    </row>
    <row r="434" spans="13:22" x14ac:dyDescent="0.25">
      <c r="M434">
        <v>414</v>
      </c>
      <c r="N434" t="s">
        <v>125</v>
      </c>
      <c r="O434" t="s">
        <v>105</v>
      </c>
      <c r="P434" t="s">
        <v>82</v>
      </c>
      <c r="Q434" t="s">
        <v>89</v>
      </c>
      <c r="R434" t="s">
        <v>73</v>
      </c>
      <c r="S434" t="s">
        <v>111</v>
      </c>
      <c r="T434" t="s">
        <v>131</v>
      </c>
      <c r="U434" t="s">
        <v>156</v>
      </c>
      <c r="V434" t="s">
        <v>597</v>
      </c>
    </row>
    <row r="435" spans="13:22" x14ac:dyDescent="0.25">
      <c r="M435">
        <v>415</v>
      </c>
      <c r="N435" t="s">
        <v>125</v>
      </c>
      <c r="O435" t="s">
        <v>138</v>
      </c>
      <c r="P435" t="s">
        <v>82</v>
      </c>
      <c r="Q435" t="s">
        <v>89</v>
      </c>
      <c r="R435" t="s">
        <v>73</v>
      </c>
      <c r="S435" t="s">
        <v>111</v>
      </c>
      <c r="T435" t="s">
        <v>105</v>
      </c>
      <c r="U435" t="s">
        <v>131</v>
      </c>
      <c r="V435" t="s">
        <v>598</v>
      </c>
    </row>
    <row r="436" spans="13:22" x14ac:dyDescent="0.25">
      <c r="M436">
        <v>416</v>
      </c>
      <c r="N436" t="s">
        <v>105</v>
      </c>
      <c r="O436" t="s">
        <v>119</v>
      </c>
      <c r="P436" t="s">
        <v>82</v>
      </c>
      <c r="Q436" t="s">
        <v>89</v>
      </c>
      <c r="R436" t="s">
        <v>73</v>
      </c>
      <c r="S436" t="s">
        <v>111</v>
      </c>
      <c r="T436" t="s">
        <v>160</v>
      </c>
      <c r="U436" t="s">
        <v>156</v>
      </c>
      <c r="V436" t="s">
        <v>599</v>
      </c>
    </row>
    <row r="437" spans="13:22" x14ac:dyDescent="0.25">
      <c r="M437">
        <v>417</v>
      </c>
      <c r="N437" t="s">
        <v>105</v>
      </c>
      <c r="O437" t="s">
        <v>119</v>
      </c>
      <c r="P437" t="s">
        <v>82</v>
      </c>
      <c r="Q437" t="s">
        <v>89</v>
      </c>
      <c r="R437" t="s">
        <v>73</v>
      </c>
      <c r="S437" t="s">
        <v>111</v>
      </c>
      <c r="T437" t="s">
        <v>160</v>
      </c>
      <c r="U437" t="s">
        <v>138</v>
      </c>
      <c r="V437" t="s">
        <v>600</v>
      </c>
    </row>
    <row r="438" spans="13:22" x14ac:dyDescent="0.25">
      <c r="M438">
        <v>418</v>
      </c>
      <c r="N438" t="s">
        <v>105</v>
      </c>
      <c r="O438" t="s">
        <v>119</v>
      </c>
      <c r="P438" t="s">
        <v>82</v>
      </c>
      <c r="Q438" t="s">
        <v>89</v>
      </c>
      <c r="R438" t="s">
        <v>73</v>
      </c>
      <c r="S438" t="s">
        <v>111</v>
      </c>
      <c r="T438" t="s">
        <v>138</v>
      </c>
      <c r="U438" t="s">
        <v>156</v>
      </c>
      <c r="V438" t="s">
        <v>601</v>
      </c>
    </row>
    <row r="439" spans="13:22" x14ac:dyDescent="0.25">
      <c r="M439">
        <v>419</v>
      </c>
      <c r="N439" t="s">
        <v>105</v>
      </c>
      <c r="O439" t="s">
        <v>119</v>
      </c>
      <c r="P439" t="s">
        <v>82</v>
      </c>
      <c r="Q439" t="s">
        <v>89</v>
      </c>
      <c r="R439" t="s">
        <v>73</v>
      </c>
      <c r="S439" t="s">
        <v>111</v>
      </c>
      <c r="T439" t="s">
        <v>160</v>
      </c>
      <c r="U439" t="s">
        <v>131</v>
      </c>
      <c r="V439" t="s">
        <v>602</v>
      </c>
    </row>
    <row r="440" spans="13:22" x14ac:dyDescent="0.25">
      <c r="M440">
        <v>420</v>
      </c>
      <c r="N440" t="s">
        <v>105</v>
      </c>
      <c r="O440" t="s">
        <v>119</v>
      </c>
      <c r="P440" t="s">
        <v>82</v>
      </c>
      <c r="Q440" t="s">
        <v>89</v>
      </c>
      <c r="R440" t="s">
        <v>73</v>
      </c>
      <c r="S440" t="s">
        <v>111</v>
      </c>
      <c r="T440" t="s">
        <v>131</v>
      </c>
      <c r="U440" t="s">
        <v>156</v>
      </c>
      <c r="V440" t="s">
        <v>603</v>
      </c>
    </row>
    <row r="441" spans="13:22" x14ac:dyDescent="0.25">
      <c r="M441">
        <v>421</v>
      </c>
      <c r="N441" t="s">
        <v>105</v>
      </c>
      <c r="O441" t="s">
        <v>119</v>
      </c>
      <c r="P441" t="s">
        <v>82</v>
      </c>
      <c r="Q441" t="s">
        <v>89</v>
      </c>
      <c r="R441" t="s">
        <v>73</v>
      </c>
      <c r="S441" t="s">
        <v>111</v>
      </c>
      <c r="T441" t="s">
        <v>131</v>
      </c>
      <c r="U441" t="s">
        <v>138</v>
      </c>
      <c r="V441" t="s">
        <v>604</v>
      </c>
    </row>
    <row r="442" spans="13:22" x14ac:dyDescent="0.25">
      <c r="M442">
        <v>422</v>
      </c>
      <c r="N442" t="s">
        <v>125</v>
      </c>
      <c r="O442" t="s">
        <v>119</v>
      </c>
      <c r="P442" t="s">
        <v>82</v>
      </c>
      <c r="Q442" t="s">
        <v>89</v>
      </c>
      <c r="R442" t="s">
        <v>73</v>
      </c>
      <c r="S442" t="s">
        <v>111</v>
      </c>
      <c r="T442" t="s">
        <v>160</v>
      </c>
      <c r="U442" t="s">
        <v>105</v>
      </c>
      <c r="V442" t="s">
        <v>605</v>
      </c>
    </row>
    <row r="443" spans="13:22" x14ac:dyDescent="0.25">
      <c r="M443">
        <v>423</v>
      </c>
      <c r="N443" t="s">
        <v>125</v>
      </c>
      <c r="O443" t="s">
        <v>119</v>
      </c>
      <c r="P443" t="s">
        <v>82</v>
      </c>
      <c r="Q443" t="s">
        <v>89</v>
      </c>
      <c r="R443" t="s">
        <v>73</v>
      </c>
      <c r="S443" t="s">
        <v>111</v>
      </c>
      <c r="T443" t="s">
        <v>105</v>
      </c>
      <c r="U443" t="s">
        <v>156</v>
      </c>
      <c r="V443" t="s">
        <v>606</v>
      </c>
    </row>
    <row r="444" spans="13:22" x14ac:dyDescent="0.25">
      <c r="M444">
        <v>424</v>
      </c>
      <c r="N444" t="s">
        <v>125</v>
      </c>
      <c r="O444" t="s">
        <v>119</v>
      </c>
      <c r="P444" t="s">
        <v>82</v>
      </c>
      <c r="Q444" t="s">
        <v>89</v>
      </c>
      <c r="R444" t="s">
        <v>73</v>
      </c>
      <c r="S444" t="s">
        <v>111</v>
      </c>
      <c r="T444" t="s">
        <v>105</v>
      </c>
      <c r="U444" t="s">
        <v>138</v>
      </c>
      <c r="V444" t="s">
        <v>607</v>
      </c>
    </row>
    <row r="445" spans="13:22" x14ac:dyDescent="0.25">
      <c r="M445">
        <v>425</v>
      </c>
      <c r="N445" t="s">
        <v>125</v>
      </c>
      <c r="O445" t="s">
        <v>119</v>
      </c>
      <c r="P445" t="s">
        <v>82</v>
      </c>
      <c r="Q445" t="s">
        <v>89</v>
      </c>
      <c r="R445" t="s">
        <v>73</v>
      </c>
      <c r="S445" t="s">
        <v>111</v>
      </c>
      <c r="T445" t="s">
        <v>105</v>
      </c>
      <c r="U445" t="s">
        <v>131</v>
      </c>
      <c r="V445" t="s">
        <v>608</v>
      </c>
    </row>
    <row r="446" spans="13:22" x14ac:dyDescent="0.25">
      <c r="M446">
        <v>426</v>
      </c>
      <c r="N446" t="s">
        <v>131</v>
      </c>
      <c r="O446" t="s">
        <v>138</v>
      </c>
      <c r="P446" t="s">
        <v>82</v>
      </c>
      <c r="Q446" t="s">
        <v>89</v>
      </c>
      <c r="R446" t="s">
        <v>73</v>
      </c>
      <c r="S446" t="s">
        <v>96</v>
      </c>
      <c r="T446" t="s">
        <v>160</v>
      </c>
      <c r="U446" t="s">
        <v>156</v>
      </c>
      <c r="V446" t="s">
        <v>609</v>
      </c>
    </row>
    <row r="447" spans="13:22" x14ac:dyDescent="0.25">
      <c r="M447">
        <v>427</v>
      </c>
      <c r="N447" t="s">
        <v>125</v>
      </c>
      <c r="O447" t="s">
        <v>138</v>
      </c>
      <c r="P447" t="s">
        <v>82</v>
      </c>
      <c r="Q447" t="s">
        <v>89</v>
      </c>
      <c r="R447" t="s">
        <v>73</v>
      </c>
      <c r="S447" t="s">
        <v>96</v>
      </c>
      <c r="T447" t="s">
        <v>160</v>
      </c>
      <c r="U447" t="s">
        <v>156</v>
      </c>
      <c r="V447" t="s">
        <v>610</v>
      </c>
    </row>
    <row r="448" spans="13:22" x14ac:dyDescent="0.25">
      <c r="M448">
        <v>428</v>
      </c>
      <c r="N448" t="s">
        <v>125</v>
      </c>
      <c r="O448" t="s">
        <v>131</v>
      </c>
      <c r="P448" t="s">
        <v>82</v>
      </c>
      <c r="Q448" t="s">
        <v>89</v>
      </c>
      <c r="R448" t="s">
        <v>73</v>
      </c>
      <c r="S448" t="s">
        <v>96</v>
      </c>
      <c r="T448" t="s">
        <v>160</v>
      </c>
      <c r="U448" t="s">
        <v>156</v>
      </c>
      <c r="V448" t="s">
        <v>611</v>
      </c>
    </row>
    <row r="449" spans="13:22" x14ac:dyDescent="0.25">
      <c r="M449">
        <v>429</v>
      </c>
      <c r="N449" t="s">
        <v>125</v>
      </c>
      <c r="O449" t="s">
        <v>138</v>
      </c>
      <c r="P449" t="s">
        <v>82</v>
      </c>
      <c r="Q449" t="s">
        <v>89</v>
      </c>
      <c r="R449" t="s">
        <v>73</v>
      </c>
      <c r="S449" t="s">
        <v>96</v>
      </c>
      <c r="T449" t="s">
        <v>160</v>
      </c>
      <c r="U449" t="s">
        <v>131</v>
      </c>
      <c r="V449" t="s">
        <v>612</v>
      </c>
    </row>
    <row r="450" spans="13:22" x14ac:dyDescent="0.25">
      <c r="M450">
        <v>430</v>
      </c>
      <c r="N450" t="s">
        <v>125</v>
      </c>
      <c r="O450" t="s">
        <v>138</v>
      </c>
      <c r="P450" t="s">
        <v>82</v>
      </c>
      <c r="Q450" t="s">
        <v>89</v>
      </c>
      <c r="R450" t="s">
        <v>73</v>
      </c>
      <c r="S450" t="s">
        <v>96</v>
      </c>
      <c r="T450" t="s">
        <v>131</v>
      </c>
      <c r="U450" t="s">
        <v>156</v>
      </c>
      <c r="V450" t="s">
        <v>613</v>
      </c>
    </row>
    <row r="451" spans="13:22" x14ac:dyDescent="0.25">
      <c r="M451">
        <v>431</v>
      </c>
      <c r="N451" t="s">
        <v>89</v>
      </c>
      <c r="O451" t="s">
        <v>138</v>
      </c>
      <c r="P451" t="s">
        <v>82</v>
      </c>
      <c r="Q451" t="s">
        <v>96</v>
      </c>
      <c r="R451" t="s">
        <v>73</v>
      </c>
      <c r="S451" t="s">
        <v>119</v>
      </c>
      <c r="T451" t="s">
        <v>160</v>
      </c>
      <c r="U451" t="s">
        <v>156</v>
      </c>
      <c r="V451" t="s">
        <v>614</v>
      </c>
    </row>
    <row r="452" spans="13:22" x14ac:dyDescent="0.25">
      <c r="M452">
        <v>432</v>
      </c>
      <c r="N452" t="s">
        <v>131</v>
      </c>
      <c r="O452" t="s">
        <v>119</v>
      </c>
      <c r="P452" t="s">
        <v>82</v>
      </c>
      <c r="Q452" t="s">
        <v>89</v>
      </c>
      <c r="R452" t="s">
        <v>73</v>
      </c>
      <c r="S452" t="s">
        <v>96</v>
      </c>
      <c r="T452" t="s">
        <v>160</v>
      </c>
      <c r="U452" t="s">
        <v>156</v>
      </c>
      <c r="V452" t="s">
        <v>615</v>
      </c>
    </row>
    <row r="453" spans="13:22" x14ac:dyDescent="0.25">
      <c r="M453">
        <v>433</v>
      </c>
      <c r="N453" t="s">
        <v>89</v>
      </c>
      <c r="O453" t="s">
        <v>138</v>
      </c>
      <c r="P453" t="s">
        <v>82</v>
      </c>
      <c r="Q453" t="s">
        <v>96</v>
      </c>
      <c r="R453" t="s">
        <v>73</v>
      </c>
      <c r="S453" t="s">
        <v>119</v>
      </c>
      <c r="T453" t="s">
        <v>160</v>
      </c>
      <c r="U453" t="s">
        <v>131</v>
      </c>
      <c r="V453" t="s">
        <v>616</v>
      </c>
    </row>
    <row r="454" spans="13:22" x14ac:dyDescent="0.25">
      <c r="M454">
        <v>434</v>
      </c>
      <c r="N454" t="s">
        <v>89</v>
      </c>
      <c r="O454" t="s">
        <v>138</v>
      </c>
      <c r="P454" t="s">
        <v>82</v>
      </c>
      <c r="Q454" t="s">
        <v>96</v>
      </c>
      <c r="R454" t="s">
        <v>73</v>
      </c>
      <c r="S454" t="s">
        <v>119</v>
      </c>
      <c r="T454" t="s">
        <v>131</v>
      </c>
      <c r="U454" t="s">
        <v>156</v>
      </c>
      <c r="V454" t="s">
        <v>617</v>
      </c>
    </row>
    <row r="455" spans="13:22" x14ac:dyDescent="0.25">
      <c r="M455">
        <v>435</v>
      </c>
      <c r="N455" t="s">
        <v>125</v>
      </c>
      <c r="O455" t="s">
        <v>119</v>
      </c>
      <c r="P455" t="s">
        <v>82</v>
      </c>
      <c r="Q455" t="s">
        <v>89</v>
      </c>
      <c r="R455" t="s">
        <v>73</v>
      </c>
      <c r="S455" t="s">
        <v>96</v>
      </c>
      <c r="T455" t="s">
        <v>160</v>
      </c>
      <c r="U455" t="s">
        <v>156</v>
      </c>
      <c r="V455" t="s">
        <v>618</v>
      </c>
    </row>
    <row r="456" spans="13:22" x14ac:dyDescent="0.25">
      <c r="M456">
        <v>436</v>
      </c>
      <c r="N456" t="s">
        <v>125</v>
      </c>
      <c r="O456" t="s">
        <v>119</v>
      </c>
      <c r="P456" t="s">
        <v>82</v>
      </c>
      <c r="Q456" t="s">
        <v>89</v>
      </c>
      <c r="R456" t="s">
        <v>73</v>
      </c>
      <c r="S456" t="s">
        <v>96</v>
      </c>
      <c r="T456" t="s">
        <v>160</v>
      </c>
      <c r="U456" t="s">
        <v>138</v>
      </c>
      <c r="V456" t="s">
        <v>619</v>
      </c>
    </row>
    <row r="457" spans="13:22" x14ac:dyDescent="0.25">
      <c r="M457">
        <v>437</v>
      </c>
      <c r="N457" t="s">
        <v>125</v>
      </c>
      <c r="O457" t="s">
        <v>119</v>
      </c>
      <c r="P457" t="s">
        <v>82</v>
      </c>
      <c r="Q457" t="s">
        <v>89</v>
      </c>
      <c r="R457" t="s">
        <v>73</v>
      </c>
      <c r="S457" t="s">
        <v>96</v>
      </c>
      <c r="T457" t="s">
        <v>138</v>
      </c>
      <c r="U457" t="s">
        <v>156</v>
      </c>
      <c r="V457" t="s">
        <v>620</v>
      </c>
    </row>
    <row r="458" spans="13:22" x14ac:dyDescent="0.25">
      <c r="M458">
        <v>438</v>
      </c>
      <c r="N458" t="s">
        <v>125</v>
      </c>
      <c r="O458" t="s">
        <v>119</v>
      </c>
      <c r="P458" t="s">
        <v>82</v>
      </c>
      <c r="Q458" t="s">
        <v>89</v>
      </c>
      <c r="R458" t="s">
        <v>73</v>
      </c>
      <c r="S458" t="s">
        <v>96</v>
      </c>
      <c r="T458" t="s">
        <v>160</v>
      </c>
      <c r="U458" t="s">
        <v>131</v>
      </c>
      <c r="V458" t="s">
        <v>621</v>
      </c>
    </row>
    <row r="459" spans="13:22" x14ac:dyDescent="0.25">
      <c r="M459">
        <v>439</v>
      </c>
      <c r="N459" t="s">
        <v>125</v>
      </c>
      <c r="O459" t="s">
        <v>119</v>
      </c>
      <c r="P459" t="s">
        <v>82</v>
      </c>
      <c r="Q459" t="s">
        <v>89</v>
      </c>
      <c r="R459" t="s">
        <v>73</v>
      </c>
      <c r="S459" t="s">
        <v>96</v>
      </c>
      <c r="T459" t="s">
        <v>131</v>
      </c>
      <c r="U459" t="s">
        <v>156</v>
      </c>
      <c r="V459" t="s">
        <v>622</v>
      </c>
    </row>
    <row r="460" spans="13:22" x14ac:dyDescent="0.25">
      <c r="M460">
        <v>440</v>
      </c>
      <c r="N460" t="s">
        <v>125</v>
      </c>
      <c r="O460" t="s">
        <v>119</v>
      </c>
      <c r="P460" t="s">
        <v>82</v>
      </c>
      <c r="Q460" t="s">
        <v>89</v>
      </c>
      <c r="R460" t="s">
        <v>73</v>
      </c>
      <c r="S460" t="s">
        <v>96</v>
      </c>
      <c r="T460" t="s">
        <v>131</v>
      </c>
      <c r="U460" t="s">
        <v>138</v>
      </c>
      <c r="V460" t="s">
        <v>623</v>
      </c>
    </row>
    <row r="461" spans="13:22" x14ac:dyDescent="0.25">
      <c r="M461">
        <v>441</v>
      </c>
      <c r="N461" t="s">
        <v>89</v>
      </c>
      <c r="O461" t="s">
        <v>138</v>
      </c>
      <c r="P461" t="s">
        <v>82</v>
      </c>
      <c r="Q461" t="s">
        <v>96</v>
      </c>
      <c r="R461" t="s">
        <v>73</v>
      </c>
      <c r="S461" t="s">
        <v>111</v>
      </c>
      <c r="T461" t="s">
        <v>160</v>
      </c>
      <c r="U461" t="s">
        <v>156</v>
      </c>
      <c r="V461" t="s">
        <v>624</v>
      </c>
    </row>
    <row r="462" spans="13:22" x14ac:dyDescent="0.25">
      <c r="M462">
        <v>442</v>
      </c>
      <c r="N462" t="s">
        <v>89</v>
      </c>
      <c r="O462" t="s">
        <v>131</v>
      </c>
      <c r="P462" t="s">
        <v>82</v>
      </c>
      <c r="Q462" t="s">
        <v>96</v>
      </c>
      <c r="R462" t="s">
        <v>73</v>
      </c>
      <c r="S462" t="s">
        <v>111</v>
      </c>
      <c r="T462" t="s">
        <v>160</v>
      </c>
      <c r="U462" t="s">
        <v>156</v>
      </c>
      <c r="V462" t="s">
        <v>625</v>
      </c>
    </row>
    <row r="463" spans="13:22" x14ac:dyDescent="0.25">
      <c r="M463">
        <v>443</v>
      </c>
      <c r="N463" t="s">
        <v>89</v>
      </c>
      <c r="O463" t="s">
        <v>138</v>
      </c>
      <c r="P463" t="s">
        <v>82</v>
      </c>
      <c r="Q463" t="s">
        <v>96</v>
      </c>
      <c r="R463" t="s">
        <v>73</v>
      </c>
      <c r="S463" t="s">
        <v>111</v>
      </c>
      <c r="T463" t="s">
        <v>160</v>
      </c>
      <c r="U463" t="s">
        <v>131</v>
      </c>
      <c r="V463" t="s">
        <v>626</v>
      </c>
    </row>
    <row r="464" spans="13:22" x14ac:dyDescent="0.25">
      <c r="M464">
        <v>444</v>
      </c>
      <c r="N464" t="s">
        <v>89</v>
      </c>
      <c r="O464" t="s">
        <v>138</v>
      </c>
      <c r="P464" t="s">
        <v>82</v>
      </c>
      <c r="Q464" t="s">
        <v>96</v>
      </c>
      <c r="R464" t="s">
        <v>73</v>
      </c>
      <c r="S464" t="s">
        <v>111</v>
      </c>
      <c r="T464" t="s">
        <v>131</v>
      </c>
      <c r="U464" t="s">
        <v>156</v>
      </c>
      <c r="V464" t="s">
        <v>627</v>
      </c>
    </row>
    <row r="465" spans="13:22" x14ac:dyDescent="0.25">
      <c r="M465">
        <v>445</v>
      </c>
      <c r="N465" t="s">
        <v>125</v>
      </c>
      <c r="O465" t="s">
        <v>111</v>
      </c>
      <c r="P465" t="s">
        <v>82</v>
      </c>
      <c r="Q465" t="s">
        <v>89</v>
      </c>
      <c r="R465" t="s">
        <v>73</v>
      </c>
      <c r="S465" t="s">
        <v>96</v>
      </c>
      <c r="T465" t="s">
        <v>160</v>
      </c>
      <c r="U465" t="s">
        <v>156</v>
      </c>
      <c r="V465" t="s">
        <v>628</v>
      </c>
    </row>
    <row r="466" spans="13:22" x14ac:dyDescent="0.25">
      <c r="M466">
        <v>446</v>
      </c>
      <c r="N466" t="s">
        <v>89</v>
      </c>
      <c r="O466" t="s">
        <v>138</v>
      </c>
      <c r="P466" t="s">
        <v>82</v>
      </c>
      <c r="Q466" t="s">
        <v>96</v>
      </c>
      <c r="R466" t="s">
        <v>73</v>
      </c>
      <c r="S466" t="s">
        <v>111</v>
      </c>
      <c r="T466" t="s">
        <v>160</v>
      </c>
      <c r="U466" t="s">
        <v>125</v>
      </c>
      <c r="V466" t="s">
        <v>629</v>
      </c>
    </row>
    <row r="467" spans="13:22" x14ac:dyDescent="0.25">
      <c r="M467">
        <v>447</v>
      </c>
      <c r="N467" t="s">
        <v>125</v>
      </c>
      <c r="O467" t="s">
        <v>138</v>
      </c>
      <c r="P467" t="s">
        <v>82</v>
      </c>
      <c r="Q467" t="s">
        <v>89</v>
      </c>
      <c r="R467" t="s">
        <v>73</v>
      </c>
      <c r="S467" t="s">
        <v>111</v>
      </c>
      <c r="T467" t="s">
        <v>96</v>
      </c>
      <c r="U467" t="s">
        <v>156</v>
      </c>
      <c r="V467" t="s">
        <v>630</v>
      </c>
    </row>
    <row r="468" spans="13:22" x14ac:dyDescent="0.25">
      <c r="M468">
        <v>448</v>
      </c>
      <c r="N468" t="s">
        <v>125</v>
      </c>
      <c r="O468" t="s">
        <v>111</v>
      </c>
      <c r="P468" t="s">
        <v>82</v>
      </c>
      <c r="Q468" t="s">
        <v>89</v>
      </c>
      <c r="R468" t="s">
        <v>73</v>
      </c>
      <c r="S468" t="s">
        <v>96</v>
      </c>
      <c r="T468" t="s">
        <v>160</v>
      </c>
      <c r="U468" t="s">
        <v>131</v>
      </c>
      <c r="V468" t="s">
        <v>631</v>
      </c>
    </row>
    <row r="469" spans="13:22" x14ac:dyDescent="0.25">
      <c r="M469">
        <v>449</v>
      </c>
      <c r="N469" t="s">
        <v>125</v>
      </c>
      <c r="O469" t="s">
        <v>111</v>
      </c>
      <c r="P469" t="s">
        <v>82</v>
      </c>
      <c r="Q469" t="s">
        <v>89</v>
      </c>
      <c r="R469" t="s">
        <v>73</v>
      </c>
      <c r="S469" t="s">
        <v>96</v>
      </c>
      <c r="T469" t="s">
        <v>131</v>
      </c>
      <c r="U469" t="s">
        <v>156</v>
      </c>
      <c r="V469" t="s">
        <v>632</v>
      </c>
    </row>
    <row r="470" spans="13:22" x14ac:dyDescent="0.25">
      <c r="M470">
        <v>450</v>
      </c>
      <c r="N470" t="s">
        <v>125</v>
      </c>
      <c r="O470" t="s">
        <v>138</v>
      </c>
      <c r="P470" t="s">
        <v>82</v>
      </c>
      <c r="Q470" t="s">
        <v>89</v>
      </c>
      <c r="R470" t="s">
        <v>73</v>
      </c>
      <c r="S470" t="s">
        <v>111</v>
      </c>
      <c r="T470" t="s">
        <v>96</v>
      </c>
      <c r="U470" t="s">
        <v>131</v>
      </c>
      <c r="V470" t="s">
        <v>633</v>
      </c>
    </row>
    <row r="471" spans="13:22" x14ac:dyDescent="0.25">
      <c r="M471">
        <v>451</v>
      </c>
      <c r="N471" t="s">
        <v>89</v>
      </c>
      <c r="O471" t="s">
        <v>119</v>
      </c>
      <c r="P471" t="s">
        <v>82</v>
      </c>
      <c r="Q471" t="s">
        <v>96</v>
      </c>
      <c r="R471" t="s">
        <v>73</v>
      </c>
      <c r="S471" t="s">
        <v>111</v>
      </c>
      <c r="T471" t="s">
        <v>160</v>
      </c>
      <c r="U471" t="s">
        <v>156</v>
      </c>
      <c r="V471" t="s">
        <v>634</v>
      </c>
    </row>
    <row r="472" spans="13:22" x14ac:dyDescent="0.25">
      <c r="M472">
        <v>452</v>
      </c>
      <c r="N472" t="s">
        <v>89</v>
      </c>
      <c r="O472" t="s">
        <v>119</v>
      </c>
      <c r="P472" t="s">
        <v>82</v>
      </c>
      <c r="Q472" t="s">
        <v>96</v>
      </c>
      <c r="R472" t="s">
        <v>73</v>
      </c>
      <c r="S472" t="s">
        <v>111</v>
      </c>
      <c r="T472" t="s">
        <v>160</v>
      </c>
      <c r="U472" t="s">
        <v>138</v>
      </c>
      <c r="V472" t="s">
        <v>635</v>
      </c>
    </row>
    <row r="473" spans="13:22" x14ac:dyDescent="0.25">
      <c r="M473">
        <v>453</v>
      </c>
      <c r="N473" t="s">
        <v>89</v>
      </c>
      <c r="O473" t="s">
        <v>119</v>
      </c>
      <c r="P473" t="s">
        <v>82</v>
      </c>
      <c r="Q473" t="s">
        <v>96</v>
      </c>
      <c r="R473" t="s">
        <v>73</v>
      </c>
      <c r="S473" t="s">
        <v>111</v>
      </c>
      <c r="T473" t="s">
        <v>138</v>
      </c>
      <c r="U473" t="s">
        <v>156</v>
      </c>
      <c r="V473" t="s">
        <v>636</v>
      </c>
    </row>
    <row r="474" spans="13:22" x14ac:dyDescent="0.25">
      <c r="M474">
        <v>454</v>
      </c>
      <c r="N474" t="s">
        <v>89</v>
      </c>
      <c r="O474" t="s">
        <v>119</v>
      </c>
      <c r="P474" t="s">
        <v>82</v>
      </c>
      <c r="Q474" t="s">
        <v>96</v>
      </c>
      <c r="R474" t="s">
        <v>73</v>
      </c>
      <c r="S474" t="s">
        <v>111</v>
      </c>
      <c r="T474" t="s">
        <v>160</v>
      </c>
      <c r="U474" t="s">
        <v>131</v>
      </c>
      <c r="V474" t="s">
        <v>637</v>
      </c>
    </row>
    <row r="475" spans="13:22" x14ac:dyDescent="0.25">
      <c r="M475">
        <v>455</v>
      </c>
      <c r="N475" t="s">
        <v>89</v>
      </c>
      <c r="O475" t="s">
        <v>119</v>
      </c>
      <c r="P475" t="s">
        <v>82</v>
      </c>
      <c r="Q475" t="s">
        <v>96</v>
      </c>
      <c r="R475" t="s">
        <v>73</v>
      </c>
      <c r="S475" t="s">
        <v>111</v>
      </c>
      <c r="T475" t="s">
        <v>131</v>
      </c>
      <c r="U475" t="s">
        <v>156</v>
      </c>
      <c r="V475" t="s">
        <v>638</v>
      </c>
    </row>
    <row r="476" spans="13:22" x14ac:dyDescent="0.25">
      <c r="M476">
        <v>456</v>
      </c>
      <c r="N476" t="s">
        <v>89</v>
      </c>
      <c r="O476" t="s">
        <v>119</v>
      </c>
      <c r="P476" t="s">
        <v>82</v>
      </c>
      <c r="Q476" t="s">
        <v>96</v>
      </c>
      <c r="R476" t="s">
        <v>73</v>
      </c>
      <c r="S476" t="s">
        <v>111</v>
      </c>
      <c r="T476" t="s">
        <v>131</v>
      </c>
      <c r="U476" t="s">
        <v>138</v>
      </c>
      <c r="V476" t="s">
        <v>639</v>
      </c>
    </row>
    <row r="477" spans="13:22" x14ac:dyDescent="0.25">
      <c r="M477">
        <v>457</v>
      </c>
      <c r="N477" t="s">
        <v>89</v>
      </c>
      <c r="O477" t="s">
        <v>119</v>
      </c>
      <c r="P477" t="s">
        <v>82</v>
      </c>
      <c r="Q477" t="s">
        <v>96</v>
      </c>
      <c r="R477" t="s">
        <v>73</v>
      </c>
      <c r="S477" t="s">
        <v>111</v>
      </c>
      <c r="T477" t="s">
        <v>160</v>
      </c>
      <c r="U477" t="s">
        <v>125</v>
      </c>
      <c r="V477" t="s">
        <v>640</v>
      </c>
    </row>
    <row r="478" spans="13:22" x14ac:dyDescent="0.25">
      <c r="M478">
        <v>458</v>
      </c>
      <c r="N478" t="s">
        <v>125</v>
      </c>
      <c r="O478" t="s">
        <v>119</v>
      </c>
      <c r="P478" t="s">
        <v>82</v>
      </c>
      <c r="Q478" t="s">
        <v>89</v>
      </c>
      <c r="R478" t="s">
        <v>73</v>
      </c>
      <c r="S478" t="s">
        <v>111</v>
      </c>
      <c r="T478" t="s">
        <v>96</v>
      </c>
      <c r="U478" t="s">
        <v>156</v>
      </c>
      <c r="V478" t="s">
        <v>641</v>
      </c>
    </row>
    <row r="479" spans="13:22" x14ac:dyDescent="0.25">
      <c r="M479">
        <v>459</v>
      </c>
      <c r="N479" t="s">
        <v>125</v>
      </c>
      <c r="O479" t="s">
        <v>119</v>
      </c>
      <c r="P479" t="s">
        <v>82</v>
      </c>
      <c r="Q479" t="s">
        <v>89</v>
      </c>
      <c r="R479" t="s">
        <v>73</v>
      </c>
      <c r="S479" t="s">
        <v>111</v>
      </c>
      <c r="T479" t="s">
        <v>96</v>
      </c>
      <c r="U479" t="s">
        <v>138</v>
      </c>
      <c r="V479" t="s">
        <v>642</v>
      </c>
    </row>
    <row r="480" spans="13:22" x14ac:dyDescent="0.25">
      <c r="M480">
        <v>460</v>
      </c>
      <c r="N480" t="s">
        <v>125</v>
      </c>
      <c r="O480" t="s">
        <v>119</v>
      </c>
      <c r="P480" t="s">
        <v>82</v>
      </c>
      <c r="Q480" t="s">
        <v>89</v>
      </c>
      <c r="R480" t="s">
        <v>73</v>
      </c>
      <c r="S480" t="s">
        <v>111</v>
      </c>
      <c r="T480" t="s">
        <v>96</v>
      </c>
      <c r="U480" t="s">
        <v>131</v>
      </c>
      <c r="V480" t="s">
        <v>643</v>
      </c>
    </row>
    <row r="481" spans="13:22" x14ac:dyDescent="0.25">
      <c r="M481">
        <v>461</v>
      </c>
      <c r="N481" t="s">
        <v>105</v>
      </c>
      <c r="O481" t="s">
        <v>138</v>
      </c>
      <c r="P481" t="s">
        <v>82</v>
      </c>
      <c r="Q481" t="s">
        <v>89</v>
      </c>
      <c r="R481" t="s">
        <v>73</v>
      </c>
      <c r="S481" t="s">
        <v>96</v>
      </c>
      <c r="T481" t="s">
        <v>160</v>
      </c>
      <c r="U481" t="s">
        <v>156</v>
      </c>
      <c r="V481" t="s">
        <v>644</v>
      </c>
    </row>
    <row r="482" spans="13:22" x14ac:dyDescent="0.25">
      <c r="M482">
        <v>462</v>
      </c>
      <c r="N482" t="s">
        <v>105</v>
      </c>
      <c r="O482" t="s">
        <v>131</v>
      </c>
      <c r="P482" t="s">
        <v>82</v>
      </c>
      <c r="Q482" t="s">
        <v>89</v>
      </c>
      <c r="R482" t="s">
        <v>73</v>
      </c>
      <c r="S482" t="s">
        <v>96</v>
      </c>
      <c r="T482" t="s">
        <v>160</v>
      </c>
      <c r="U482" t="s">
        <v>156</v>
      </c>
      <c r="V482" t="s">
        <v>645</v>
      </c>
    </row>
    <row r="483" spans="13:22" x14ac:dyDescent="0.25">
      <c r="M483">
        <v>463</v>
      </c>
      <c r="N483" t="s">
        <v>105</v>
      </c>
      <c r="O483" t="s">
        <v>138</v>
      </c>
      <c r="P483" t="s">
        <v>82</v>
      </c>
      <c r="Q483" t="s">
        <v>89</v>
      </c>
      <c r="R483" t="s">
        <v>73</v>
      </c>
      <c r="S483" t="s">
        <v>96</v>
      </c>
      <c r="T483" t="s">
        <v>160</v>
      </c>
      <c r="U483" t="s">
        <v>131</v>
      </c>
      <c r="V483" t="s">
        <v>646</v>
      </c>
    </row>
    <row r="484" spans="13:22" x14ac:dyDescent="0.25">
      <c r="M484">
        <v>464</v>
      </c>
      <c r="N484" t="s">
        <v>105</v>
      </c>
      <c r="O484" t="s">
        <v>138</v>
      </c>
      <c r="P484" t="s">
        <v>82</v>
      </c>
      <c r="Q484" t="s">
        <v>89</v>
      </c>
      <c r="R484" t="s">
        <v>73</v>
      </c>
      <c r="S484" t="s">
        <v>96</v>
      </c>
      <c r="T484" t="s">
        <v>131</v>
      </c>
      <c r="U484" t="s">
        <v>156</v>
      </c>
      <c r="V484" t="s">
        <v>647</v>
      </c>
    </row>
    <row r="485" spans="13:22" x14ac:dyDescent="0.25">
      <c r="M485">
        <v>465</v>
      </c>
      <c r="N485" t="s">
        <v>125</v>
      </c>
      <c r="O485" t="s">
        <v>105</v>
      </c>
      <c r="P485" t="s">
        <v>82</v>
      </c>
      <c r="Q485" t="s">
        <v>89</v>
      </c>
      <c r="R485" t="s">
        <v>73</v>
      </c>
      <c r="S485" t="s">
        <v>96</v>
      </c>
      <c r="T485" t="s">
        <v>160</v>
      </c>
      <c r="U485" t="s">
        <v>156</v>
      </c>
      <c r="V485" t="s">
        <v>648</v>
      </c>
    </row>
    <row r="486" spans="13:22" x14ac:dyDescent="0.25">
      <c r="M486">
        <v>466</v>
      </c>
      <c r="N486" t="s">
        <v>125</v>
      </c>
      <c r="O486" t="s">
        <v>138</v>
      </c>
      <c r="P486" t="s">
        <v>82</v>
      </c>
      <c r="Q486" t="s">
        <v>89</v>
      </c>
      <c r="R486" t="s">
        <v>73</v>
      </c>
      <c r="S486" t="s">
        <v>96</v>
      </c>
      <c r="T486" t="s">
        <v>160</v>
      </c>
      <c r="U486" t="s">
        <v>105</v>
      </c>
      <c r="V486" t="s">
        <v>649</v>
      </c>
    </row>
    <row r="487" spans="13:22" x14ac:dyDescent="0.25">
      <c r="M487">
        <v>467</v>
      </c>
      <c r="N487" t="s">
        <v>125</v>
      </c>
      <c r="O487" t="s">
        <v>138</v>
      </c>
      <c r="P487" t="s">
        <v>82</v>
      </c>
      <c r="Q487" t="s">
        <v>89</v>
      </c>
      <c r="R487" t="s">
        <v>73</v>
      </c>
      <c r="S487" t="s">
        <v>96</v>
      </c>
      <c r="T487" t="s">
        <v>105</v>
      </c>
      <c r="U487" t="s">
        <v>156</v>
      </c>
      <c r="V487" t="s">
        <v>650</v>
      </c>
    </row>
    <row r="488" spans="13:22" x14ac:dyDescent="0.25">
      <c r="M488">
        <v>468</v>
      </c>
      <c r="N488" t="s">
        <v>125</v>
      </c>
      <c r="O488" t="s">
        <v>105</v>
      </c>
      <c r="P488" t="s">
        <v>82</v>
      </c>
      <c r="Q488" t="s">
        <v>89</v>
      </c>
      <c r="R488" t="s">
        <v>73</v>
      </c>
      <c r="S488" t="s">
        <v>96</v>
      </c>
      <c r="T488" t="s">
        <v>160</v>
      </c>
      <c r="U488" t="s">
        <v>131</v>
      </c>
      <c r="V488" t="s">
        <v>651</v>
      </c>
    </row>
    <row r="489" spans="13:22" x14ac:dyDescent="0.25">
      <c r="M489">
        <v>469</v>
      </c>
      <c r="N489" t="s">
        <v>125</v>
      </c>
      <c r="O489" t="s">
        <v>105</v>
      </c>
      <c r="P489" t="s">
        <v>82</v>
      </c>
      <c r="Q489" t="s">
        <v>89</v>
      </c>
      <c r="R489" t="s">
        <v>73</v>
      </c>
      <c r="S489" t="s">
        <v>96</v>
      </c>
      <c r="T489" t="s">
        <v>131</v>
      </c>
      <c r="U489" t="s">
        <v>156</v>
      </c>
      <c r="V489" t="s">
        <v>652</v>
      </c>
    </row>
    <row r="490" spans="13:22" x14ac:dyDescent="0.25">
      <c r="M490">
        <v>470</v>
      </c>
      <c r="N490" t="s">
        <v>125</v>
      </c>
      <c r="O490" t="s">
        <v>138</v>
      </c>
      <c r="P490" t="s">
        <v>82</v>
      </c>
      <c r="Q490" t="s">
        <v>89</v>
      </c>
      <c r="R490" t="s">
        <v>73</v>
      </c>
      <c r="S490" t="s">
        <v>96</v>
      </c>
      <c r="T490" t="s">
        <v>105</v>
      </c>
      <c r="U490" t="s">
        <v>131</v>
      </c>
      <c r="V490" t="s">
        <v>653</v>
      </c>
    </row>
    <row r="491" spans="13:22" x14ac:dyDescent="0.25">
      <c r="M491">
        <v>471</v>
      </c>
      <c r="N491" t="s">
        <v>105</v>
      </c>
      <c r="O491" t="s">
        <v>119</v>
      </c>
      <c r="P491" t="s">
        <v>82</v>
      </c>
      <c r="Q491" t="s">
        <v>89</v>
      </c>
      <c r="R491" t="s">
        <v>73</v>
      </c>
      <c r="S491" t="s">
        <v>96</v>
      </c>
      <c r="T491" t="s">
        <v>160</v>
      </c>
      <c r="U491" t="s">
        <v>156</v>
      </c>
      <c r="V491" t="s">
        <v>654</v>
      </c>
    </row>
    <row r="492" spans="13:22" x14ac:dyDescent="0.25">
      <c r="M492">
        <v>472</v>
      </c>
      <c r="N492" t="s">
        <v>105</v>
      </c>
      <c r="O492" t="s">
        <v>119</v>
      </c>
      <c r="P492" t="s">
        <v>82</v>
      </c>
      <c r="Q492" t="s">
        <v>89</v>
      </c>
      <c r="R492" t="s">
        <v>73</v>
      </c>
      <c r="S492" t="s">
        <v>96</v>
      </c>
      <c r="T492" t="s">
        <v>160</v>
      </c>
      <c r="U492" t="s">
        <v>138</v>
      </c>
      <c r="V492" t="s">
        <v>655</v>
      </c>
    </row>
    <row r="493" spans="13:22" x14ac:dyDescent="0.25">
      <c r="M493">
        <v>473</v>
      </c>
      <c r="N493" t="s">
        <v>105</v>
      </c>
      <c r="O493" t="s">
        <v>119</v>
      </c>
      <c r="P493" t="s">
        <v>82</v>
      </c>
      <c r="Q493" t="s">
        <v>89</v>
      </c>
      <c r="R493" t="s">
        <v>73</v>
      </c>
      <c r="S493" t="s">
        <v>96</v>
      </c>
      <c r="T493" t="s">
        <v>138</v>
      </c>
      <c r="U493" t="s">
        <v>156</v>
      </c>
      <c r="V493" t="s">
        <v>656</v>
      </c>
    </row>
    <row r="494" spans="13:22" x14ac:dyDescent="0.25">
      <c r="M494">
        <v>474</v>
      </c>
      <c r="N494" t="s">
        <v>105</v>
      </c>
      <c r="O494" t="s">
        <v>119</v>
      </c>
      <c r="P494" t="s">
        <v>82</v>
      </c>
      <c r="Q494" t="s">
        <v>89</v>
      </c>
      <c r="R494" t="s">
        <v>73</v>
      </c>
      <c r="S494" t="s">
        <v>96</v>
      </c>
      <c r="T494" t="s">
        <v>160</v>
      </c>
      <c r="U494" t="s">
        <v>131</v>
      </c>
      <c r="V494" t="s">
        <v>657</v>
      </c>
    </row>
    <row r="495" spans="13:22" x14ac:dyDescent="0.25">
      <c r="M495">
        <v>475</v>
      </c>
      <c r="N495" t="s">
        <v>105</v>
      </c>
      <c r="O495" t="s">
        <v>119</v>
      </c>
      <c r="P495" t="s">
        <v>82</v>
      </c>
      <c r="Q495" t="s">
        <v>89</v>
      </c>
      <c r="R495" t="s">
        <v>73</v>
      </c>
      <c r="S495" t="s">
        <v>96</v>
      </c>
      <c r="T495" t="s">
        <v>131</v>
      </c>
      <c r="U495" t="s">
        <v>156</v>
      </c>
      <c r="V495" t="s">
        <v>658</v>
      </c>
    </row>
    <row r="496" spans="13:22" x14ac:dyDescent="0.25">
      <c r="M496">
        <v>476</v>
      </c>
      <c r="N496" t="s">
        <v>105</v>
      </c>
      <c r="O496" t="s">
        <v>119</v>
      </c>
      <c r="P496" t="s">
        <v>82</v>
      </c>
      <c r="Q496" t="s">
        <v>89</v>
      </c>
      <c r="R496" t="s">
        <v>73</v>
      </c>
      <c r="S496" t="s">
        <v>96</v>
      </c>
      <c r="T496" t="s">
        <v>131</v>
      </c>
      <c r="U496" t="s">
        <v>138</v>
      </c>
      <c r="V496" t="s">
        <v>659</v>
      </c>
    </row>
    <row r="497" spans="13:22" x14ac:dyDescent="0.25">
      <c r="M497">
        <v>477</v>
      </c>
      <c r="N497" t="s">
        <v>125</v>
      </c>
      <c r="O497" t="s">
        <v>119</v>
      </c>
      <c r="P497" t="s">
        <v>82</v>
      </c>
      <c r="Q497" t="s">
        <v>89</v>
      </c>
      <c r="R497" t="s">
        <v>73</v>
      </c>
      <c r="S497" t="s">
        <v>96</v>
      </c>
      <c r="T497" t="s">
        <v>160</v>
      </c>
      <c r="U497" t="s">
        <v>105</v>
      </c>
      <c r="V497" t="s">
        <v>660</v>
      </c>
    </row>
    <row r="498" spans="13:22" x14ac:dyDescent="0.25">
      <c r="M498">
        <v>478</v>
      </c>
      <c r="N498" t="s">
        <v>125</v>
      </c>
      <c r="O498" t="s">
        <v>119</v>
      </c>
      <c r="P498" t="s">
        <v>82</v>
      </c>
      <c r="Q498" t="s">
        <v>89</v>
      </c>
      <c r="R498" t="s">
        <v>73</v>
      </c>
      <c r="S498" t="s">
        <v>96</v>
      </c>
      <c r="T498" t="s">
        <v>105</v>
      </c>
      <c r="U498" t="s">
        <v>156</v>
      </c>
      <c r="V498" t="s">
        <v>661</v>
      </c>
    </row>
    <row r="499" spans="13:22" x14ac:dyDescent="0.25">
      <c r="M499">
        <v>479</v>
      </c>
      <c r="N499" t="s">
        <v>125</v>
      </c>
      <c r="O499" t="s">
        <v>119</v>
      </c>
      <c r="P499" t="s">
        <v>82</v>
      </c>
      <c r="Q499" t="s">
        <v>89</v>
      </c>
      <c r="R499" t="s">
        <v>73</v>
      </c>
      <c r="S499" t="s">
        <v>96</v>
      </c>
      <c r="T499" t="s">
        <v>105</v>
      </c>
      <c r="U499" t="s">
        <v>138</v>
      </c>
      <c r="V499" t="s">
        <v>662</v>
      </c>
    </row>
    <row r="500" spans="13:22" x14ac:dyDescent="0.25">
      <c r="M500">
        <v>480</v>
      </c>
      <c r="N500" t="s">
        <v>125</v>
      </c>
      <c r="O500" t="s">
        <v>119</v>
      </c>
      <c r="P500" t="s">
        <v>82</v>
      </c>
      <c r="Q500" t="s">
        <v>89</v>
      </c>
      <c r="R500" t="s">
        <v>73</v>
      </c>
      <c r="S500" t="s">
        <v>96</v>
      </c>
      <c r="T500" t="s">
        <v>105</v>
      </c>
      <c r="U500" t="s">
        <v>131</v>
      </c>
      <c r="V500" t="s">
        <v>663</v>
      </c>
    </row>
    <row r="501" spans="13:22" x14ac:dyDescent="0.25">
      <c r="M501">
        <v>481</v>
      </c>
      <c r="N501" t="s">
        <v>89</v>
      </c>
      <c r="O501" t="s">
        <v>105</v>
      </c>
      <c r="P501" t="s">
        <v>82</v>
      </c>
      <c r="Q501" t="s">
        <v>96</v>
      </c>
      <c r="R501" t="s">
        <v>73</v>
      </c>
      <c r="S501" t="s">
        <v>111</v>
      </c>
      <c r="T501" t="s">
        <v>160</v>
      </c>
      <c r="U501" t="s">
        <v>156</v>
      </c>
      <c r="V501" t="s">
        <v>664</v>
      </c>
    </row>
    <row r="502" spans="13:22" x14ac:dyDescent="0.25">
      <c r="M502">
        <v>482</v>
      </c>
      <c r="N502" t="s">
        <v>89</v>
      </c>
      <c r="O502" t="s">
        <v>138</v>
      </c>
      <c r="P502" t="s">
        <v>82</v>
      </c>
      <c r="Q502" t="s">
        <v>96</v>
      </c>
      <c r="R502" t="s">
        <v>73</v>
      </c>
      <c r="S502" t="s">
        <v>111</v>
      </c>
      <c r="T502" t="s">
        <v>160</v>
      </c>
      <c r="U502" t="s">
        <v>105</v>
      </c>
      <c r="V502" t="s">
        <v>665</v>
      </c>
    </row>
    <row r="503" spans="13:22" x14ac:dyDescent="0.25">
      <c r="M503">
        <v>483</v>
      </c>
      <c r="N503" t="s">
        <v>89</v>
      </c>
      <c r="O503" t="s">
        <v>138</v>
      </c>
      <c r="P503" t="s">
        <v>82</v>
      </c>
      <c r="Q503" t="s">
        <v>96</v>
      </c>
      <c r="R503" t="s">
        <v>73</v>
      </c>
      <c r="S503" t="s">
        <v>111</v>
      </c>
      <c r="T503" t="s">
        <v>105</v>
      </c>
      <c r="U503" t="s">
        <v>156</v>
      </c>
      <c r="V503" t="s">
        <v>666</v>
      </c>
    </row>
    <row r="504" spans="13:22" x14ac:dyDescent="0.25">
      <c r="M504">
        <v>484</v>
      </c>
      <c r="N504" t="s">
        <v>89</v>
      </c>
      <c r="O504" t="s">
        <v>105</v>
      </c>
      <c r="P504" t="s">
        <v>82</v>
      </c>
      <c r="Q504" t="s">
        <v>96</v>
      </c>
      <c r="R504" t="s">
        <v>73</v>
      </c>
      <c r="S504" t="s">
        <v>111</v>
      </c>
      <c r="T504" t="s">
        <v>160</v>
      </c>
      <c r="U504" t="s">
        <v>131</v>
      </c>
      <c r="V504" t="s">
        <v>667</v>
      </c>
    </row>
    <row r="505" spans="13:22" x14ac:dyDescent="0.25">
      <c r="M505">
        <v>485</v>
      </c>
      <c r="N505" t="s">
        <v>89</v>
      </c>
      <c r="O505" t="s">
        <v>105</v>
      </c>
      <c r="P505" t="s">
        <v>82</v>
      </c>
      <c r="Q505" t="s">
        <v>96</v>
      </c>
      <c r="R505" t="s">
        <v>73</v>
      </c>
      <c r="S505" t="s">
        <v>111</v>
      </c>
      <c r="T505" t="s">
        <v>131</v>
      </c>
      <c r="U505" t="s">
        <v>156</v>
      </c>
      <c r="V505" t="s">
        <v>668</v>
      </c>
    </row>
    <row r="506" spans="13:22" x14ac:dyDescent="0.25">
      <c r="M506">
        <v>486</v>
      </c>
      <c r="N506" t="s">
        <v>89</v>
      </c>
      <c r="O506" t="s">
        <v>138</v>
      </c>
      <c r="P506" t="s">
        <v>82</v>
      </c>
      <c r="Q506" t="s">
        <v>96</v>
      </c>
      <c r="R506" t="s">
        <v>73</v>
      </c>
      <c r="S506" t="s">
        <v>111</v>
      </c>
      <c r="T506" t="s">
        <v>105</v>
      </c>
      <c r="U506" t="s">
        <v>131</v>
      </c>
      <c r="V506" t="s">
        <v>669</v>
      </c>
    </row>
    <row r="507" spans="13:22" x14ac:dyDescent="0.25">
      <c r="M507">
        <v>487</v>
      </c>
      <c r="N507" t="s">
        <v>125</v>
      </c>
      <c r="O507" t="s">
        <v>111</v>
      </c>
      <c r="P507" t="s">
        <v>82</v>
      </c>
      <c r="Q507" t="s">
        <v>89</v>
      </c>
      <c r="R507" t="s">
        <v>73</v>
      </c>
      <c r="S507" t="s">
        <v>96</v>
      </c>
      <c r="T507" t="s">
        <v>160</v>
      </c>
      <c r="U507" t="s">
        <v>105</v>
      </c>
      <c r="V507" t="s">
        <v>670</v>
      </c>
    </row>
    <row r="508" spans="13:22" x14ac:dyDescent="0.25">
      <c r="M508">
        <v>488</v>
      </c>
      <c r="N508" t="s">
        <v>125</v>
      </c>
      <c r="O508" t="s">
        <v>105</v>
      </c>
      <c r="P508" t="s">
        <v>82</v>
      </c>
      <c r="Q508" t="s">
        <v>89</v>
      </c>
      <c r="R508" t="s">
        <v>73</v>
      </c>
      <c r="S508" t="s">
        <v>111</v>
      </c>
      <c r="T508" t="s">
        <v>96</v>
      </c>
      <c r="U508" t="s">
        <v>156</v>
      </c>
      <c r="V508" t="s">
        <v>671</v>
      </c>
    </row>
    <row r="509" spans="13:22" x14ac:dyDescent="0.25">
      <c r="M509">
        <v>489</v>
      </c>
      <c r="N509" t="s">
        <v>125</v>
      </c>
      <c r="O509" t="s">
        <v>138</v>
      </c>
      <c r="P509" t="s">
        <v>82</v>
      </c>
      <c r="Q509" t="s">
        <v>89</v>
      </c>
      <c r="R509" t="s">
        <v>73</v>
      </c>
      <c r="S509" t="s">
        <v>111</v>
      </c>
      <c r="T509" t="s">
        <v>96</v>
      </c>
      <c r="U509" t="s">
        <v>105</v>
      </c>
      <c r="V509" t="s">
        <v>672</v>
      </c>
    </row>
    <row r="510" spans="13:22" x14ac:dyDescent="0.25">
      <c r="M510">
        <v>490</v>
      </c>
      <c r="N510" t="s">
        <v>125</v>
      </c>
      <c r="O510" t="s">
        <v>105</v>
      </c>
      <c r="P510" t="s">
        <v>82</v>
      </c>
      <c r="Q510" t="s">
        <v>89</v>
      </c>
      <c r="R510" t="s">
        <v>73</v>
      </c>
      <c r="S510" t="s">
        <v>111</v>
      </c>
      <c r="T510" t="s">
        <v>96</v>
      </c>
      <c r="U510" t="s">
        <v>131</v>
      </c>
      <c r="V510" t="s">
        <v>673</v>
      </c>
    </row>
    <row r="511" spans="13:22" x14ac:dyDescent="0.25">
      <c r="M511">
        <v>491</v>
      </c>
      <c r="N511" t="s">
        <v>89</v>
      </c>
      <c r="O511" t="s">
        <v>119</v>
      </c>
      <c r="P511" t="s">
        <v>82</v>
      </c>
      <c r="Q511" t="s">
        <v>96</v>
      </c>
      <c r="R511" t="s">
        <v>73</v>
      </c>
      <c r="S511" t="s">
        <v>111</v>
      </c>
      <c r="T511" t="s">
        <v>160</v>
      </c>
      <c r="U511" t="s">
        <v>105</v>
      </c>
      <c r="V511" t="s">
        <v>674</v>
      </c>
    </row>
    <row r="512" spans="13:22" x14ac:dyDescent="0.25">
      <c r="M512">
        <v>492</v>
      </c>
      <c r="N512" t="s">
        <v>89</v>
      </c>
      <c r="O512" t="s">
        <v>119</v>
      </c>
      <c r="P512" t="s">
        <v>82</v>
      </c>
      <c r="Q512" t="s">
        <v>96</v>
      </c>
      <c r="R512" t="s">
        <v>73</v>
      </c>
      <c r="S512" t="s">
        <v>111</v>
      </c>
      <c r="T512" t="s">
        <v>105</v>
      </c>
      <c r="U512" t="s">
        <v>156</v>
      </c>
      <c r="V512" t="s">
        <v>675</v>
      </c>
    </row>
    <row r="513" spans="13:22" x14ac:dyDescent="0.25">
      <c r="M513">
        <v>493</v>
      </c>
      <c r="N513" t="s">
        <v>89</v>
      </c>
      <c r="O513" t="s">
        <v>119</v>
      </c>
      <c r="P513" t="s">
        <v>82</v>
      </c>
      <c r="Q513" t="s">
        <v>96</v>
      </c>
      <c r="R513" t="s">
        <v>73</v>
      </c>
      <c r="S513" t="s">
        <v>111</v>
      </c>
      <c r="T513" t="s">
        <v>105</v>
      </c>
      <c r="U513" t="s">
        <v>138</v>
      </c>
      <c r="V513" t="s">
        <v>676</v>
      </c>
    </row>
    <row r="514" spans="13:22" x14ac:dyDescent="0.25">
      <c r="M514">
        <v>494</v>
      </c>
      <c r="N514" t="s">
        <v>89</v>
      </c>
      <c r="O514" t="s">
        <v>119</v>
      </c>
      <c r="P514" t="s">
        <v>82</v>
      </c>
      <c r="Q514" t="s">
        <v>96</v>
      </c>
      <c r="R514" t="s">
        <v>73</v>
      </c>
      <c r="S514" t="s">
        <v>111</v>
      </c>
      <c r="T514" t="s">
        <v>105</v>
      </c>
      <c r="U514" t="s">
        <v>131</v>
      </c>
      <c r="V514" t="s">
        <v>677</v>
      </c>
    </row>
    <row r="515" spans="13:22" x14ac:dyDescent="0.25">
      <c r="M515">
        <v>495</v>
      </c>
      <c r="N515" t="s">
        <v>125</v>
      </c>
      <c r="O515" t="s">
        <v>119</v>
      </c>
      <c r="P515" t="s">
        <v>82</v>
      </c>
      <c r="Q515" t="s">
        <v>89</v>
      </c>
      <c r="R515" t="s">
        <v>73</v>
      </c>
      <c r="S515" t="s">
        <v>111</v>
      </c>
      <c r="T515" t="s">
        <v>96</v>
      </c>
      <c r="U515" t="s">
        <v>105</v>
      </c>
      <c r="V515" t="s">
        <v>678</v>
      </c>
    </row>
  </sheetData>
  <mergeCells count="18">
    <mergeCell ref="A48:K48"/>
    <mergeCell ref="A20:K20"/>
    <mergeCell ref="A104:K104"/>
    <mergeCell ref="A174:K174"/>
    <mergeCell ref="A1:K1"/>
    <mergeCell ref="CR1:DD1"/>
    <mergeCell ref="AS1:BN1"/>
    <mergeCell ref="AO1:AP1"/>
    <mergeCell ref="A160:K160"/>
    <mergeCell ref="A76:K76"/>
    <mergeCell ref="A90:K90"/>
    <mergeCell ref="M1:X1"/>
    <mergeCell ref="A118:K118"/>
    <mergeCell ref="A146:K146"/>
    <mergeCell ref="M19:V19"/>
    <mergeCell ref="A34:K34"/>
    <mergeCell ref="A132:K132"/>
    <mergeCell ref="A62:K6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HH2"/>
  <sheetViews>
    <sheetView showGridLines="0" workbookViewId="0">
      <pane ySplit="1" topLeftCell="A2" activePane="bottomLeft" state="frozen"/>
      <selection pane="bottomLeft" activeCell="GZ34" sqref="GZ34"/>
    </sheetView>
  </sheetViews>
  <sheetFormatPr baseColWidth="10" defaultColWidth="9.140625" defaultRowHeight="15" x14ac:dyDescent="0.25"/>
  <cols>
    <col min="1" max="2" width="18" customWidth="1"/>
    <col min="3" max="3" width="15" customWidth="1"/>
    <col min="4" max="4" width="12" customWidth="1"/>
    <col min="5" max="148" width="10" customWidth="1"/>
    <col min="149" max="210" width="16" customWidth="1"/>
    <col min="211" max="216" width="22" customWidth="1"/>
  </cols>
  <sheetData>
    <row r="1" spans="1:216" x14ac:dyDescent="0.25">
      <c r="A1" s="2" t="s">
        <v>0</v>
      </c>
      <c r="B1" s="2" t="s">
        <v>1</v>
      </c>
      <c r="C1" s="2" t="s">
        <v>679</v>
      </c>
      <c r="D1" s="2" t="s">
        <v>680</v>
      </c>
      <c r="E1" s="2" t="s">
        <v>681</v>
      </c>
      <c r="F1" s="2" t="s">
        <v>682</v>
      </c>
      <c r="G1" s="2" t="s">
        <v>683</v>
      </c>
      <c r="H1" s="2" t="s">
        <v>684</v>
      </c>
      <c r="I1" s="2" t="s">
        <v>685</v>
      </c>
      <c r="J1" s="2" t="s">
        <v>686</v>
      </c>
      <c r="K1" s="2" t="s">
        <v>687</v>
      </c>
      <c r="L1" s="2" t="s">
        <v>688</v>
      </c>
      <c r="M1" s="2" t="s">
        <v>689</v>
      </c>
      <c r="N1" s="2" t="s">
        <v>690</v>
      </c>
      <c r="O1" s="2" t="s">
        <v>691</v>
      </c>
      <c r="P1" s="2" t="s">
        <v>692</v>
      </c>
      <c r="Q1" s="2" t="s">
        <v>693</v>
      </c>
      <c r="R1" s="2" t="s">
        <v>694</v>
      </c>
      <c r="S1" s="2" t="s">
        <v>695</v>
      </c>
      <c r="T1" s="2" t="s">
        <v>696</v>
      </c>
      <c r="U1" s="2" t="s">
        <v>697</v>
      </c>
      <c r="V1" s="2" t="s">
        <v>698</v>
      </c>
      <c r="W1" s="2" t="s">
        <v>699</v>
      </c>
      <c r="X1" s="2" t="s">
        <v>700</v>
      </c>
      <c r="Y1" s="2" t="s">
        <v>701</v>
      </c>
      <c r="Z1" s="2" t="s">
        <v>702</v>
      </c>
      <c r="AA1" s="2" t="s">
        <v>703</v>
      </c>
      <c r="AB1" s="2" t="s">
        <v>704</v>
      </c>
      <c r="AC1" s="2" t="s">
        <v>705</v>
      </c>
      <c r="AD1" s="2" t="s">
        <v>706</v>
      </c>
      <c r="AE1" s="2" t="s">
        <v>707</v>
      </c>
      <c r="AF1" s="2" t="s">
        <v>708</v>
      </c>
      <c r="AG1" s="2" t="s">
        <v>709</v>
      </c>
      <c r="AH1" s="2" t="s">
        <v>710</v>
      </c>
      <c r="AI1" s="2" t="s">
        <v>711</v>
      </c>
      <c r="AJ1" s="2" t="s">
        <v>712</v>
      </c>
      <c r="AK1" s="2" t="s">
        <v>713</v>
      </c>
      <c r="AL1" s="2" t="s">
        <v>714</v>
      </c>
      <c r="AM1" s="2" t="s">
        <v>715</v>
      </c>
      <c r="AN1" s="2" t="s">
        <v>716</v>
      </c>
      <c r="AO1" s="2" t="s">
        <v>717</v>
      </c>
      <c r="AP1" s="2" t="s">
        <v>718</v>
      </c>
      <c r="AQ1" s="2" t="s">
        <v>719</v>
      </c>
      <c r="AR1" s="2" t="s">
        <v>720</v>
      </c>
      <c r="AS1" s="2" t="s">
        <v>721</v>
      </c>
      <c r="AT1" s="2" t="s">
        <v>722</v>
      </c>
      <c r="AU1" s="2" t="s">
        <v>723</v>
      </c>
      <c r="AV1" s="2" t="s">
        <v>724</v>
      </c>
      <c r="AW1" s="2" t="s">
        <v>725</v>
      </c>
      <c r="AX1" s="2" t="s">
        <v>726</v>
      </c>
      <c r="AY1" s="2" t="s">
        <v>727</v>
      </c>
      <c r="AZ1" s="2" t="s">
        <v>728</v>
      </c>
      <c r="BA1" s="2" t="s">
        <v>729</v>
      </c>
      <c r="BB1" s="2" t="s">
        <v>730</v>
      </c>
      <c r="BC1" s="2" t="s">
        <v>731</v>
      </c>
      <c r="BD1" s="2" t="s">
        <v>732</v>
      </c>
      <c r="BE1" s="2" t="s">
        <v>733</v>
      </c>
      <c r="BF1" s="2" t="s">
        <v>734</v>
      </c>
      <c r="BG1" s="2" t="s">
        <v>735</v>
      </c>
      <c r="BH1" s="2" t="s">
        <v>736</v>
      </c>
      <c r="BI1" s="2" t="s">
        <v>737</v>
      </c>
      <c r="BJ1" s="2" t="s">
        <v>738</v>
      </c>
      <c r="BK1" s="2" t="s">
        <v>739</v>
      </c>
      <c r="BL1" s="2" t="s">
        <v>740</v>
      </c>
      <c r="BM1" s="2" t="s">
        <v>741</v>
      </c>
      <c r="BN1" s="2" t="s">
        <v>742</v>
      </c>
      <c r="BO1" s="2" t="s">
        <v>743</v>
      </c>
      <c r="BP1" s="2" t="s">
        <v>744</v>
      </c>
      <c r="BQ1" s="2" t="s">
        <v>745</v>
      </c>
      <c r="BR1" s="2" t="s">
        <v>746</v>
      </c>
      <c r="BS1" s="2" t="s">
        <v>747</v>
      </c>
      <c r="BT1" s="2" t="s">
        <v>748</v>
      </c>
      <c r="BU1" s="2" t="s">
        <v>749</v>
      </c>
      <c r="BV1" s="2" t="s">
        <v>750</v>
      </c>
      <c r="BW1" s="2" t="s">
        <v>751</v>
      </c>
      <c r="BX1" s="2" t="s">
        <v>752</v>
      </c>
      <c r="BY1" s="2" t="s">
        <v>753</v>
      </c>
      <c r="BZ1" s="2" t="s">
        <v>754</v>
      </c>
      <c r="CA1" s="2" t="s">
        <v>755</v>
      </c>
      <c r="CB1" s="2" t="s">
        <v>756</v>
      </c>
      <c r="CC1" s="2" t="s">
        <v>757</v>
      </c>
      <c r="CD1" s="2" t="s">
        <v>758</v>
      </c>
      <c r="CE1" s="2" t="s">
        <v>759</v>
      </c>
      <c r="CF1" s="2" t="s">
        <v>760</v>
      </c>
      <c r="CG1" s="2" t="s">
        <v>761</v>
      </c>
      <c r="CH1" s="2" t="s">
        <v>762</v>
      </c>
      <c r="CI1" s="2" t="s">
        <v>763</v>
      </c>
      <c r="CJ1" s="2" t="s">
        <v>764</v>
      </c>
      <c r="CK1" s="2" t="s">
        <v>765</v>
      </c>
      <c r="CL1" s="2" t="s">
        <v>766</v>
      </c>
      <c r="CM1" s="2" t="s">
        <v>767</v>
      </c>
      <c r="CN1" s="2" t="s">
        <v>768</v>
      </c>
      <c r="CO1" s="2" t="s">
        <v>769</v>
      </c>
      <c r="CP1" s="2" t="s">
        <v>770</v>
      </c>
      <c r="CQ1" s="2" t="s">
        <v>771</v>
      </c>
      <c r="CR1" s="2" t="s">
        <v>772</v>
      </c>
      <c r="CS1" s="2" t="s">
        <v>773</v>
      </c>
      <c r="CT1" s="2" t="s">
        <v>774</v>
      </c>
      <c r="CU1" s="2" t="s">
        <v>775</v>
      </c>
      <c r="CV1" s="2" t="s">
        <v>776</v>
      </c>
      <c r="CW1" s="2" t="s">
        <v>777</v>
      </c>
      <c r="CX1" s="2" t="s">
        <v>778</v>
      </c>
      <c r="CY1" s="2" t="s">
        <v>779</v>
      </c>
      <c r="CZ1" s="2" t="s">
        <v>780</v>
      </c>
      <c r="DA1" s="2" t="s">
        <v>781</v>
      </c>
      <c r="DB1" s="2" t="s">
        <v>782</v>
      </c>
      <c r="DC1" s="2" t="s">
        <v>783</v>
      </c>
      <c r="DD1" s="2" t="s">
        <v>784</v>
      </c>
      <c r="DE1" s="2" t="s">
        <v>785</v>
      </c>
      <c r="DF1" s="2" t="s">
        <v>786</v>
      </c>
      <c r="DG1" s="2" t="s">
        <v>787</v>
      </c>
      <c r="DH1" s="2" t="s">
        <v>788</v>
      </c>
      <c r="DI1" s="2" t="s">
        <v>789</v>
      </c>
      <c r="DJ1" s="2" t="s">
        <v>790</v>
      </c>
      <c r="DK1" s="2" t="s">
        <v>791</v>
      </c>
      <c r="DL1" s="2" t="s">
        <v>792</v>
      </c>
      <c r="DM1" s="2" t="s">
        <v>793</v>
      </c>
      <c r="DN1" s="2" t="s">
        <v>794</v>
      </c>
      <c r="DO1" s="2" t="s">
        <v>795</v>
      </c>
      <c r="DP1" s="2" t="s">
        <v>796</v>
      </c>
      <c r="DQ1" s="2" t="s">
        <v>797</v>
      </c>
      <c r="DR1" s="2" t="s">
        <v>798</v>
      </c>
      <c r="DS1" s="2" t="s">
        <v>799</v>
      </c>
      <c r="DT1" s="2" t="s">
        <v>800</v>
      </c>
      <c r="DU1" s="2" t="s">
        <v>801</v>
      </c>
      <c r="DV1" s="2" t="s">
        <v>802</v>
      </c>
      <c r="DW1" s="2" t="s">
        <v>803</v>
      </c>
      <c r="DX1" s="2" t="s">
        <v>804</v>
      </c>
      <c r="DY1" s="2" t="s">
        <v>805</v>
      </c>
      <c r="DZ1" s="2" t="s">
        <v>806</v>
      </c>
      <c r="EA1" s="2" t="s">
        <v>807</v>
      </c>
      <c r="EB1" s="2" t="s">
        <v>808</v>
      </c>
      <c r="EC1" s="2" t="s">
        <v>809</v>
      </c>
      <c r="ED1" s="2" t="s">
        <v>810</v>
      </c>
      <c r="EE1" s="2" t="s">
        <v>811</v>
      </c>
      <c r="EF1" s="2" t="s">
        <v>812</v>
      </c>
      <c r="EG1" s="2" t="s">
        <v>813</v>
      </c>
      <c r="EH1" s="2" t="s">
        <v>814</v>
      </c>
      <c r="EI1" s="2" t="s">
        <v>815</v>
      </c>
      <c r="EJ1" s="2" t="s">
        <v>816</v>
      </c>
      <c r="EK1" s="2" t="s">
        <v>817</v>
      </c>
      <c r="EL1" s="2" t="s">
        <v>818</v>
      </c>
      <c r="EM1" s="2" t="s">
        <v>819</v>
      </c>
      <c r="EN1" s="2" t="s">
        <v>820</v>
      </c>
      <c r="EO1" s="2" t="s">
        <v>821</v>
      </c>
      <c r="EP1" s="2" t="s">
        <v>822</v>
      </c>
      <c r="EQ1" s="2" t="s">
        <v>823</v>
      </c>
      <c r="ER1" s="2" t="s">
        <v>824</v>
      </c>
      <c r="ES1" s="2" t="s">
        <v>961</v>
      </c>
      <c r="ET1" s="2" t="s">
        <v>962</v>
      </c>
      <c r="EU1" s="2" t="s">
        <v>963</v>
      </c>
      <c r="EV1" s="2" t="s">
        <v>964</v>
      </c>
      <c r="EW1" s="2" t="s">
        <v>965</v>
      </c>
      <c r="EX1" s="2" t="s">
        <v>966</v>
      </c>
      <c r="EY1" s="2" t="s">
        <v>967</v>
      </c>
      <c r="EZ1" s="2" t="s">
        <v>968</v>
      </c>
      <c r="FA1" s="2" t="s">
        <v>969</v>
      </c>
      <c r="FB1" s="2" t="s">
        <v>970</v>
      </c>
      <c r="FC1" s="2" t="s">
        <v>971</v>
      </c>
      <c r="FD1" s="2" t="s">
        <v>972</v>
      </c>
      <c r="FE1" s="2" t="s">
        <v>973</v>
      </c>
      <c r="FF1" s="2" t="s">
        <v>974</v>
      </c>
      <c r="FG1" s="2" t="s">
        <v>975</v>
      </c>
      <c r="FH1" s="2" t="s">
        <v>976</v>
      </c>
      <c r="FI1" s="2" t="s">
        <v>977</v>
      </c>
      <c r="FJ1" s="2" t="s">
        <v>978</v>
      </c>
      <c r="FK1" s="2" t="s">
        <v>979</v>
      </c>
      <c r="FL1" s="2" t="s">
        <v>980</v>
      </c>
      <c r="FM1" s="2" t="s">
        <v>981</v>
      </c>
      <c r="FN1" s="2" t="s">
        <v>982</v>
      </c>
      <c r="FO1" s="2" t="s">
        <v>983</v>
      </c>
      <c r="FP1" s="2" t="s">
        <v>984</v>
      </c>
      <c r="FQ1" s="2" t="s">
        <v>985</v>
      </c>
      <c r="FR1" s="2" t="s">
        <v>986</v>
      </c>
      <c r="FS1" s="2" t="s">
        <v>987</v>
      </c>
      <c r="FT1" s="2" t="s">
        <v>988</v>
      </c>
      <c r="FU1" s="2" t="s">
        <v>989</v>
      </c>
      <c r="FV1" s="2" t="s">
        <v>990</v>
      </c>
      <c r="FW1" s="2" t="s">
        <v>991</v>
      </c>
      <c r="FX1" s="2" t="s">
        <v>992</v>
      </c>
      <c r="FY1" s="2" t="s">
        <v>993</v>
      </c>
      <c r="FZ1" s="2" t="s">
        <v>994</v>
      </c>
      <c r="GA1" s="2" t="s">
        <v>995</v>
      </c>
      <c r="GB1" s="2" t="s">
        <v>996</v>
      </c>
      <c r="GC1" s="2" t="s">
        <v>997</v>
      </c>
      <c r="GD1" s="2" t="s">
        <v>998</v>
      </c>
      <c r="GE1" s="2" t="s">
        <v>999</v>
      </c>
      <c r="GF1" s="2" t="s">
        <v>1000</v>
      </c>
      <c r="GG1" s="2" t="s">
        <v>1001</v>
      </c>
      <c r="GH1" s="2" t="s">
        <v>1002</v>
      </c>
      <c r="GI1" s="2" t="s">
        <v>1003</v>
      </c>
      <c r="GJ1" s="2" t="s">
        <v>1004</v>
      </c>
      <c r="GK1" s="2" t="s">
        <v>1005</v>
      </c>
      <c r="GL1" s="2" t="s">
        <v>1006</v>
      </c>
      <c r="GM1" s="2" t="s">
        <v>1007</v>
      </c>
      <c r="GN1" s="2" t="s">
        <v>1008</v>
      </c>
      <c r="GO1" s="2" t="s">
        <v>1009</v>
      </c>
      <c r="GP1" s="2" t="s">
        <v>1010</v>
      </c>
      <c r="GQ1" s="2" t="s">
        <v>1011</v>
      </c>
      <c r="GR1" s="2" t="s">
        <v>1012</v>
      </c>
      <c r="GS1" s="2" t="s">
        <v>1013</v>
      </c>
      <c r="GT1" s="2" t="s">
        <v>1014</v>
      </c>
      <c r="GU1" s="2" t="s">
        <v>1015</v>
      </c>
      <c r="GV1" s="2" t="s">
        <v>1016</v>
      </c>
      <c r="GW1" s="2" t="s">
        <v>1017</v>
      </c>
      <c r="GX1" s="2" t="s">
        <v>1018</v>
      </c>
      <c r="GY1" s="2" t="s">
        <v>1019</v>
      </c>
      <c r="GZ1" s="2" t="s">
        <v>1020</v>
      </c>
      <c r="HA1" s="2" t="s">
        <v>1021</v>
      </c>
      <c r="HB1" s="2" t="s">
        <v>1022</v>
      </c>
      <c r="HC1" s="2" t="s">
        <v>825</v>
      </c>
      <c r="HD1" s="2" t="s">
        <v>828</v>
      </c>
      <c r="HE1" s="2" t="s">
        <v>845</v>
      </c>
      <c r="HF1" s="2" t="s">
        <v>846</v>
      </c>
      <c r="HG1" s="2" t="s">
        <v>847</v>
      </c>
      <c r="HH1" s="2" t="s">
        <v>1023</v>
      </c>
    </row>
    <row r="2" spans="1:216" x14ac:dyDescent="0.25">
      <c r="A2" s="1">
        <f>Quiniela!E5</f>
        <v>0</v>
      </c>
      <c r="B2" s="1">
        <f>Quiniela!E6</f>
        <v>0</v>
      </c>
      <c r="C2" s="1" t="str">
        <f>Quiniela!E7</f>
        <v>INCOMPLETA</v>
      </c>
      <c r="D2" s="1" t="str">
        <f>Calculos!V15</f>
        <v/>
      </c>
      <c r="E2" s="1">
        <f>Quiniela!E17</f>
        <v>0</v>
      </c>
      <c r="F2" s="1">
        <f>Quiniela!I17</f>
        <v>0</v>
      </c>
      <c r="G2" s="1">
        <f>Quiniela!E18</f>
        <v>0</v>
      </c>
      <c r="H2" s="1">
        <f>Quiniela!I18</f>
        <v>0</v>
      </c>
      <c r="I2" s="1">
        <f>Quiniela!E19</f>
        <v>0</v>
      </c>
      <c r="J2" s="1">
        <f>Quiniela!I19</f>
        <v>0</v>
      </c>
      <c r="K2" s="1">
        <f>Quiniela!E20</f>
        <v>0</v>
      </c>
      <c r="L2" s="1">
        <f>Quiniela!I20</f>
        <v>0</v>
      </c>
      <c r="M2" s="1">
        <f>Quiniela!E21</f>
        <v>0</v>
      </c>
      <c r="N2" s="1">
        <f>Quiniela!I21</f>
        <v>0</v>
      </c>
      <c r="O2" s="1">
        <f>Quiniela!E22</f>
        <v>0</v>
      </c>
      <c r="P2" s="1">
        <f>Quiniela!I22</f>
        <v>0</v>
      </c>
      <c r="Q2" s="1">
        <f>Quiniela!E25</f>
        <v>0</v>
      </c>
      <c r="R2" s="1">
        <f>Quiniela!I25</f>
        <v>0</v>
      </c>
      <c r="S2" s="1">
        <f>Quiniela!E26</f>
        <v>0</v>
      </c>
      <c r="T2" s="1">
        <f>Quiniela!I26</f>
        <v>0</v>
      </c>
      <c r="U2" s="1">
        <f>Quiniela!E27</f>
        <v>0</v>
      </c>
      <c r="V2" s="1">
        <f>Quiniela!I27</f>
        <v>0</v>
      </c>
      <c r="W2" s="1">
        <f>Quiniela!E28</f>
        <v>0</v>
      </c>
      <c r="X2" s="1">
        <f>Quiniela!I28</f>
        <v>0</v>
      </c>
      <c r="Y2" s="1">
        <f>Quiniela!E29</f>
        <v>0</v>
      </c>
      <c r="Z2" s="1">
        <f>Quiniela!I29</f>
        <v>0</v>
      </c>
      <c r="AA2" s="1">
        <f>Quiniela!E30</f>
        <v>0</v>
      </c>
      <c r="AB2" s="1">
        <f>Quiniela!I30</f>
        <v>0</v>
      </c>
      <c r="AC2" s="1">
        <f>Quiniela!E33</f>
        <v>0</v>
      </c>
      <c r="AD2" s="1">
        <f>Quiniela!I33</f>
        <v>0</v>
      </c>
      <c r="AE2" s="1">
        <f>Quiniela!E34</f>
        <v>0</v>
      </c>
      <c r="AF2" s="1">
        <f>Quiniela!I34</f>
        <v>0</v>
      </c>
      <c r="AG2" s="1">
        <f>Quiniela!E35</f>
        <v>0</v>
      </c>
      <c r="AH2" s="1">
        <f>Quiniela!I35</f>
        <v>0</v>
      </c>
      <c r="AI2" s="1">
        <f>Quiniela!E36</f>
        <v>0</v>
      </c>
      <c r="AJ2" s="1">
        <f>Quiniela!I36</f>
        <v>0</v>
      </c>
      <c r="AK2" s="1">
        <f>Quiniela!E37</f>
        <v>0</v>
      </c>
      <c r="AL2" s="1">
        <f>Quiniela!I37</f>
        <v>0</v>
      </c>
      <c r="AM2" s="1">
        <f>Quiniela!E38</f>
        <v>0</v>
      </c>
      <c r="AN2" s="1">
        <f>Quiniela!I38</f>
        <v>0</v>
      </c>
      <c r="AO2" s="1">
        <f>Quiniela!E41</f>
        <v>0</v>
      </c>
      <c r="AP2" s="1">
        <f>Quiniela!I41</f>
        <v>0</v>
      </c>
      <c r="AQ2" s="1">
        <f>Quiniela!E42</f>
        <v>0</v>
      </c>
      <c r="AR2" s="1">
        <f>Quiniela!I42</f>
        <v>0</v>
      </c>
      <c r="AS2" s="1">
        <f>Quiniela!E43</f>
        <v>0</v>
      </c>
      <c r="AT2" s="1">
        <f>Quiniela!I43</f>
        <v>0</v>
      </c>
      <c r="AU2" s="1">
        <f>Quiniela!E44</f>
        <v>0</v>
      </c>
      <c r="AV2" s="1">
        <f>Quiniela!I44</f>
        <v>0</v>
      </c>
      <c r="AW2" s="1">
        <f>Quiniela!E45</f>
        <v>0</v>
      </c>
      <c r="AX2" s="1">
        <f>Quiniela!I45</f>
        <v>0</v>
      </c>
      <c r="AY2" s="1">
        <f>Quiniela!E46</f>
        <v>0</v>
      </c>
      <c r="AZ2" s="1">
        <f>Quiniela!I46</f>
        <v>0</v>
      </c>
      <c r="BA2" s="1">
        <f>Quiniela!E49</f>
        <v>0</v>
      </c>
      <c r="BB2" s="1">
        <f>Quiniela!I49</f>
        <v>0</v>
      </c>
      <c r="BC2" s="1">
        <f>Quiniela!E50</f>
        <v>0</v>
      </c>
      <c r="BD2" s="1">
        <f>Quiniela!I50</f>
        <v>0</v>
      </c>
      <c r="BE2" s="1">
        <f>Quiniela!E51</f>
        <v>0</v>
      </c>
      <c r="BF2" s="1">
        <f>Quiniela!I51</f>
        <v>0</v>
      </c>
      <c r="BG2" s="1">
        <f>Quiniela!E52</f>
        <v>0</v>
      </c>
      <c r="BH2" s="1">
        <f>Quiniela!I52</f>
        <v>0</v>
      </c>
      <c r="BI2" s="1">
        <f>Quiniela!E53</f>
        <v>0</v>
      </c>
      <c r="BJ2" s="1">
        <f>Quiniela!I53</f>
        <v>0</v>
      </c>
      <c r="BK2" s="1">
        <f>Quiniela!E54</f>
        <v>0</v>
      </c>
      <c r="BL2" s="1">
        <f>Quiniela!I54</f>
        <v>0</v>
      </c>
      <c r="BM2" s="1">
        <f>Quiniela!E57</f>
        <v>0</v>
      </c>
      <c r="BN2" s="1">
        <f>Quiniela!I57</f>
        <v>0</v>
      </c>
      <c r="BO2" s="1">
        <f>Quiniela!E58</f>
        <v>0</v>
      </c>
      <c r="BP2" s="1">
        <f>Quiniela!I58</f>
        <v>0</v>
      </c>
      <c r="BQ2" s="1">
        <f>Quiniela!E59</f>
        <v>0</v>
      </c>
      <c r="BR2" s="1">
        <f>Quiniela!I59</f>
        <v>0</v>
      </c>
      <c r="BS2" s="1">
        <f>Quiniela!E60</f>
        <v>0</v>
      </c>
      <c r="BT2" s="1">
        <f>Quiniela!I60</f>
        <v>0</v>
      </c>
      <c r="BU2" s="1">
        <f>Quiniela!E61</f>
        <v>0</v>
      </c>
      <c r="BV2" s="1">
        <f>Quiniela!I61</f>
        <v>0</v>
      </c>
      <c r="BW2" s="1">
        <f>Quiniela!E62</f>
        <v>0</v>
      </c>
      <c r="BX2" s="1">
        <f>Quiniela!I62</f>
        <v>0</v>
      </c>
      <c r="BY2" s="1">
        <f>Quiniela!E65</f>
        <v>0</v>
      </c>
      <c r="BZ2" s="1">
        <f>Quiniela!I65</f>
        <v>0</v>
      </c>
      <c r="CA2" s="1">
        <f>Quiniela!E66</f>
        <v>0</v>
      </c>
      <c r="CB2" s="1">
        <f>Quiniela!I66</f>
        <v>0</v>
      </c>
      <c r="CC2" s="1">
        <f>Quiniela!E67</f>
        <v>0</v>
      </c>
      <c r="CD2" s="1">
        <f>Quiniela!I67</f>
        <v>0</v>
      </c>
      <c r="CE2" s="1">
        <f>Quiniela!E68</f>
        <v>0</v>
      </c>
      <c r="CF2" s="1">
        <f>Quiniela!I68</f>
        <v>0</v>
      </c>
      <c r="CG2" s="1">
        <f>Quiniela!E69</f>
        <v>0</v>
      </c>
      <c r="CH2" s="1">
        <f>Quiniela!I69</f>
        <v>0</v>
      </c>
      <c r="CI2" s="1">
        <f>Quiniela!E70</f>
        <v>0</v>
      </c>
      <c r="CJ2" s="1">
        <f>Quiniela!I70</f>
        <v>0</v>
      </c>
      <c r="CK2" s="1">
        <f>Quiniela!E73</f>
        <v>0</v>
      </c>
      <c r="CL2" s="1">
        <f>Quiniela!I73</f>
        <v>0</v>
      </c>
      <c r="CM2" s="1">
        <f>Quiniela!E74</f>
        <v>0</v>
      </c>
      <c r="CN2" s="1">
        <f>Quiniela!I74</f>
        <v>0</v>
      </c>
      <c r="CO2" s="1">
        <f>Quiniela!E75</f>
        <v>0</v>
      </c>
      <c r="CP2" s="1">
        <f>Quiniela!I75</f>
        <v>0</v>
      </c>
      <c r="CQ2" s="1">
        <f>Quiniela!E76</f>
        <v>0</v>
      </c>
      <c r="CR2" s="1">
        <f>Quiniela!I76</f>
        <v>0</v>
      </c>
      <c r="CS2" s="1">
        <f>Quiniela!E77</f>
        <v>0</v>
      </c>
      <c r="CT2" s="1">
        <f>Quiniela!I77</f>
        <v>0</v>
      </c>
      <c r="CU2" s="1">
        <f>Quiniela!E78</f>
        <v>0</v>
      </c>
      <c r="CV2" s="1">
        <f>Quiniela!I78</f>
        <v>0</v>
      </c>
      <c r="CW2" s="1">
        <f>Quiniela!E81</f>
        <v>0</v>
      </c>
      <c r="CX2" s="1">
        <f>Quiniela!I81</f>
        <v>0</v>
      </c>
      <c r="CY2" s="1">
        <f>Quiniela!E82</f>
        <v>0</v>
      </c>
      <c r="CZ2" s="1">
        <f>Quiniela!I82</f>
        <v>0</v>
      </c>
      <c r="DA2" s="1">
        <f>Quiniela!E83</f>
        <v>0</v>
      </c>
      <c r="DB2" s="1">
        <f>Quiniela!I83</f>
        <v>0</v>
      </c>
      <c r="DC2" s="1">
        <f>Quiniela!E84</f>
        <v>0</v>
      </c>
      <c r="DD2" s="1">
        <f>Quiniela!I84</f>
        <v>0</v>
      </c>
      <c r="DE2" s="1">
        <f>Quiniela!E85</f>
        <v>0</v>
      </c>
      <c r="DF2" s="1">
        <f>Quiniela!I85</f>
        <v>0</v>
      </c>
      <c r="DG2" s="1">
        <f>Quiniela!E86</f>
        <v>0</v>
      </c>
      <c r="DH2" s="1">
        <f>Quiniela!I86</f>
        <v>0</v>
      </c>
      <c r="DI2" s="1">
        <f>Quiniela!E89</f>
        <v>0</v>
      </c>
      <c r="DJ2" s="1">
        <f>Quiniela!I89</f>
        <v>0</v>
      </c>
      <c r="DK2" s="1">
        <f>Quiniela!E90</f>
        <v>0</v>
      </c>
      <c r="DL2" s="1">
        <f>Quiniela!I90</f>
        <v>0</v>
      </c>
      <c r="DM2" s="1">
        <f>Quiniela!E91</f>
        <v>0</v>
      </c>
      <c r="DN2" s="1">
        <f>Quiniela!I91</f>
        <v>0</v>
      </c>
      <c r="DO2" s="1">
        <f>Quiniela!E92</f>
        <v>0</v>
      </c>
      <c r="DP2" s="1">
        <f>Quiniela!I92</f>
        <v>0</v>
      </c>
      <c r="DQ2" s="1">
        <f>Quiniela!E93</f>
        <v>0</v>
      </c>
      <c r="DR2" s="1">
        <f>Quiniela!I93</f>
        <v>0</v>
      </c>
      <c r="DS2" s="1">
        <f>Quiniela!E94</f>
        <v>0</v>
      </c>
      <c r="DT2" s="1">
        <f>Quiniela!I94</f>
        <v>0</v>
      </c>
      <c r="DU2" s="1">
        <f>Quiniela!E97</f>
        <v>0</v>
      </c>
      <c r="DV2" s="1">
        <f>Quiniela!I97</f>
        <v>0</v>
      </c>
      <c r="DW2" s="1">
        <f>Quiniela!E98</f>
        <v>0</v>
      </c>
      <c r="DX2" s="1">
        <f>Quiniela!I98</f>
        <v>0</v>
      </c>
      <c r="DY2" s="1">
        <f>Quiniela!E99</f>
        <v>0</v>
      </c>
      <c r="DZ2" s="1">
        <f>Quiniela!I99</f>
        <v>0</v>
      </c>
      <c r="EA2" s="1">
        <f>Quiniela!E100</f>
        <v>0</v>
      </c>
      <c r="EB2" s="1">
        <f>Quiniela!I100</f>
        <v>0</v>
      </c>
      <c r="EC2" s="1">
        <f>Quiniela!E101</f>
        <v>0</v>
      </c>
      <c r="ED2" s="1">
        <f>Quiniela!I101</f>
        <v>0</v>
      </c>
      <c r="EE2" s="1">
        <f>Quiniela!E102</f>
        <v>0</v>
      </c>
      <c r="EF2" s="1">
        <f>Quiniela!I102</f>
        <v>0</v>
      </c>
      <c r="EG2" s="1">
        <f>Quiniela!E105</f>
        <v>0</v>
      </c>
      <c r="EH2" s="1">
        <f>Quiniela!I105</f>
        <v>0</v>
      </c>
      <c r="EI2" s="1">
        <f>Quiniela!E106</f>
        <v>0</v>
      </c>
      <c r="EJ2" s="1">
        <f>Quiniela!I106</f>
        <v>0</v>
      </c>
      <c r="EK2" s="1">
        <f>Quiniela!E107</f>
        <v>0</v>
      </c>
      <c r="EL2" s="1">
        <f>Quiniela!I107</f>
        <v>0</v>
      </c>
      <c r="EM2" s="1">
        <f>Quiniela!E108</f>
        <v>0</v>
      </c>
      <c r="EN2" s="1">
        <f>Quiniela!I108</f>
        <v>0</v>
      </c>
      <c r="EO2" s="1">
        <f>Quiniela!E109</f>
        <v>0</v>
      </c>
      <c r="EP2" s="1">
        <f>Quiniela!I109</f>
        <v>0</v>
      </c>
      <c r="EQ2" s="1">
        <f>Quiniela!E110</f>
        <v>0</v>
      </c>
      <c r="ER2" s="1">
        <f>Quiniela!I110</f>
        <v>0</v>
      </c>
      <c r="ES2" s="1" t="str">
        <f>IFERROR(TRIM(RIGHT(Quiniela!D113,LEN(Quiniela!D113)-FIND("|",Quiniela!D113))),Quiniela!D113)</f>
        <v/>
      </c>
      <c r="ET2" s="1" t="str">
        <f>IFERROR(TRIM(RIGHT(Quiniela!F113,LEN(Quiniela!F113)-FIND("|",Quiniela!F113))),Quiniela!F113)</f>
        <v/>
      </c>
      <c r="EU2" s="1" t="str">
        <f>IFERROR(TRIM(RIGHT(Quiniela!D114,LEN(Quiniela!D114)-FIND("|",Quiniela!D114))),Quiniela!D114)</f>
        <v/>
      </c>
      <c r="EV2" s="1" t="str">
        <f>IFERROR(TRIM(RIGHT(Quiniela!F114,LEN(Quiniela!F114)-FIND("|",Quiniela!F114))),Quiniela!F114)</f>
        <v/>
      </c>
      <c r="EW2" s="1" t="str">
        <f>IFERROR(TRIM(RIGHT(Quiniela!D115,LEN(Quiniela!D115)-FIND("|",Quiniela!D115))),Quiniela!D115)</f>
        <v/>
      </c>
      <c r="EX2" s="1" t="str">
        <f>IFERROR(TRIM(RIGHT(Quiniela!F115,LEN(Quiniela!F115)-FIND("|",Quiniela!F115))),Quiniela!F115)</f>
        <v/>
      </c>
      <c r="EY2" s="1" t="str">
        <f>IFERROR(TRIM(RIGHT(Quiniela!D116,LEN(Quiniela!D116)-FIND("|",Quiniela!D116))),Quiniela!D116)</f>
        <v/>
      </c>
      <c r="EZ2" s="1" t="str">
        <f>IFERROR(TRIM(RIGHT(Quiniela!F116,LEN(Quiniela!F116)-FIND("|",Quiniela!F116))),Quiniela!F116)</f>
        <v/>
      </c>
      <c r="FA2" s="1" t="str">
        <f>IFERROR(TRIM(RIGHT(Quiniela!D117,LEN(Quiniela!D117)-FIND("|",Quiniela!D117))),Quiniela!D117)</f>
        <v/>
      </c>
      <c r="FB2" s="1" t="str">
        <f>IFERROR(TRIM(RIGHT(Quiniela!F117,LEN(Quiniela!F117)-FIND("|",Quiniela!F117))),Quiniela!F117)</f>
        <v/>
      </c>
      <c r="FC2" s="1" t="str">
        <f>IFERROR(TRIM(RIGHT(Quiniela!D118,LEN(Quiniela!D118)-FIND("|",Quiniela!D118))),Quiniela!D118)</f>
        <v/>
      </c>
      <c r="FD2" s="1" t="str">
        <f>IFERROR(TRIM(RIGHT(Quiniela!F118,LEN(Quiniela!F118)-FIND("|",Quiniela!F118))),Quiniela!F118)</f>
        <v/>
      </c>
      <c r="FE2" s="1" t="str">
        <f>IFERROR(TRIM(RIGHT(Quiniela!D119,LEN(Quiniela!D119)-FIND("|",Quiniela!D119))),Quiniela!D119)</f>
        <v/>
      </c>
      <c r="FF2" s="1" t="str">
        <f>IFERROR(TRIM(RIGHT(Quiniela!F119,LEN(Quiniela!F119)-FIND("|",Quiniela!F119))),Quiniela!F119)</f>
        <v/>
      </c>
      <c r="FG2" s="1" t="str">
        <f>IFERROR(TRIM(RIGHT(Quiniela!D120,LEN(Quiniela!D120)-FIND("|",Quiniela!D120))),Quiniela!D120)</f>
        <v/>
      </c>
      <c r="FH2" s="1" t="str">
        <f>IFERROR(TRIM(RIGHT(Quiniela!F120,LEN(Quiniela!F120)-FIND("|",Quiniela!F120))),Quiniela!F120)</f>
        <v/>
      </c>
      <c r="FI2" s="1" t="str">
        <f>IFERROR(TRIM(RIGHT(Quiniela!D121,LEN(Quiniela!D121)-FIND("|",Quiniela!D121))),Quiniela!D121)</f>
        <v/>
      </c>
      <c r="FJ2" s="1" t="str">
        <f>IFERROR(TRIM(RIGHT(Quiniela!F121,LEN(Quiniela!F121)-FIND("|",Quiniela!F121))),Quiniela!F121)</f>
        <v/>
      </c>
      <c r="FK2" s="1" t="str">
        <f>IFERROR(TRIM(RIGHT(Quiniela!D122,LEN(Quiniela!D122)-FIND("|",Quiniela!D122))),Quiniela!D122)</f>
        <v/>
      </c>
      <c r="FL2" s="1" t="str">
        <f>IFERROR(TRIM(RIGHT(Quiniela!F122,LEN(Quiniela!F122)-FIND("|",Quiniela!F122))),Quiniela!F122)</f>
        <v/>
      </c>
      <c r="FM2" s="1" t="str">
        <f>IFERROR(TRIM(RIGHT(Quiniela!D123,LEN(Quiniela!D123)-FIND("|",Quiniela!D123))),Quiniela!D123)</f>
        <v/>
      </c>
      <c r="FN2" s="1" t="str">
        <f>IFERROR(TRIM(RIGHT(Quiniela!F123,LEN(Quiniela!F123)-FIND("|",Quiniela!F123))),Quiniela!F123)</f>
        <v/>
      </c>
      <c r="FO2" s="1" t="str">
        <f>IFERROR(TRIM(RIGHT(Quiniela!D124,LEN(Quiniela!D124)-FIND("|",Quiniela!D124))),Quiniela!D124)</f>
        <v/>
      </c>
      <c r="FP2" s="1" t="str">
        <f>IFERROR(TRIM(RIGHT(Quiniela!F124,LEN(Quiniela!F124)-FIND("|",Quiniela!F124))),Quiniela!F124)</f>
        <v/>
      </c>
      <c r="FQ2" s="1" t="str">
        <f>IFERROR(TRIM(RIGHT(Quiniela!D125,LEN(Quiniela!D125)-FIND("|",Quiniela!D125))),Quiniela!D125)</f>
        <v/>
      </c>
      <c r="FR2" s="1" t="str">
        <f>IFERROR(TRIM(RIGHT(Quiniela!F125,LEN(Quiniela!F125)-FIND("|",Quiniela!F125))),Quiniela!F125)</f>
        <v/>
      </c>
      <c r="FS2" s="1" t="str">
        <f>IFERROR(TRIM(RIGHT(Quiniela!D126,LEN(Quiniela!D126)-FIND("|",Quiniela!D126))),Quiniela!D126)</f>
        <v/>
      </c>
      <c r="FT2" s="1" t="str">
        <f>IFERROR(TRIM(RIGHT(Quiniela!F126,LEN(Quiniela!F126)-FIND("|",Quiniela!F126))),Quiniela!F126)</f>
        <v/>
      </c>
      <c r="FU2" s="1" t="str">
        <f>IFERROR(TRIM(RIGHT(Quiniela!D127,LEN(Quiniela!D127)-FIND("|",Quiniela!D127))),Quiniela!D127)</f>
        <v/>
      </c>
      <c r="FV2" s="1" t="str">
        <f>IFERROR(TRIM(RIGHT(Quiniela!F127,LEN(Quiniela!F127)-FIND("|",Quiniela!F127))),Quiniela!F127)</f>
        <v/>
      </c>
      <c r="FW2" s="1" t="str">
        <f>IFERROR(TRIM(RIGHT(Quiniela!D128,LEN(Quiniela!D128)-FIND("|",Quiniela!D128))),Quiniela!D128)</f>
        <v/>
      </c>
      <c r="FX2" s="1" t="str">
        <f>IFERROR(TRIM(RIGHT(Quiniela!F128,LEN(Quiniela!F128)-FIND("|",Quiniela!F128))),Quiniela!F128)</f>
        <v/>
      </c>
      <c r="FY2" s="1" t="str">
        <f>IFERROR(TRIM(RIGHT(Quiniela!D131,LEN(Quiniela!D131)-FIND("|",Quiniela!D131))),Quiniela!D131)</f>
        <v/>
      </c>
      <c r="FZ2" s="1" t="str">
        <f>IFERROR(TRIM(RIGHT(Quiniela!F131,LEN(Quiniela!F131)-FIND("|",Quiniela!F131))),Quiniela!F131)</f>
        <v/>
      </c>
      <c r="GA2" s="1" t="str">
        <f>IFERROR(TRIM(RIGHT(Quiniela!D132,LEN(Quiniela!D132)-FIND("|",Quiniela!D132))),Quiniela!D132)</f>
        <v/>
      </c>
      <c r="GB2" s="1" t="str">
        <f>IFERROR(TRIM(RIGHT(Quiniela!F132,LEN(Quiniela!F132)-FIND("|",Quiniela!F132))),Quiniela!F132)</f>
        <v/>
      </c>
      <c r="GC2" s="1" t="str">
        <f>IFERROR(TRIM(RIGHT(Quiniela!D133,LEN(Quiniela!D133)-FIND("|",Quiniela!D133))),Quiniela!D133)</f>
        <v/>
      </c>
      <c r="GD2" s="1" t="str">
        <f>IFERROR(TRIM(RIGHT(Quiniela!F133,LEN(Quiniela!F133)-FIND("|",Quiniela!F133))),Quiniela!F133)</f>
        <v/>
      </c>
      <c r="GE2" s="1" t="str">
        <f>IFERROR(TRIM(RIGHT(Quiniela!D134,LEN(Quiniela!D134)-FIND("|",Quiniela!D134))),Quiniela!D134)</f>
        <v/>
      </c>
      <c r="GF2" s="1" t="str">
        <f>IFERROR(TRIM(RIGHT(Quiniela!F134,LEN(Quiniela!F134)-FIND("|",Quiniela!F134))),Quiniela!F134)</f>
        <v/>
      </c>
      <c r="GG2" s="1" t="str">
        <f>IFERROR(TRIM(RIGHT(Quiniela!D135,LEN(Quiniela!D135)-FIND("|",Quiniela!D135))),Quiniela!D135)</f>
        <v/>
      </c>
      <c r="GH2" s="1" t="str">
        <f>IFERROR(TRIM(RIGHT(Quiniela!F135,LEN(Quiniela!F135)-FIND("|",Quiniela!F135))),Quiniela!F135)</f>
        <v/>
      </c>
      <c r="GI2" s="1" t="str">
        <f>IFERROR(TRIM(RIGHT(Quiniela!D136,LEN(Quiniela!D136)-FIND("|",Quiniela!D136))),Quiniela!D136)</f>
        <v/>
      </c>
      <c r="GJ2" s="1" t="str">
        <f>IFERROR(TRIM(RIGHT(Quiniela!F136,LEN(Quiniela!F136)-FIND("|",Quiniela!F136))),Quiniela!F136)</f>
        <v/>
      </c>
      <c r="GK2" s="1" t="str">
        <f>IFERROR(TRIM(RIGHT(Quiniela!D137,LEN(Quiniela!D137)-FIND("|",Quiniela!D137))),Quiniela!D137)</f>
        <v/>
      </c>
      <c r="GL2" s="1" t="str">
        <f>IFERROR(TRIM(RIGHT(Quiniela!F137,LEN(Quiniela!F137)-FIND("|",Quiniela!F137))),Quiniela!F137)</f>
        <v/>
      </c>
      <c r="GM2" s="1" t="str">
        <f>IFERROR(TRIM(RIGHT(Quiniela!D138,LEN(Quiniela!D138)-FIND("|",Quiniela!D138))),Quiniela!D138)</f>
        <v/>
      </c>
      <c r="GN2" s="1" t="str">
        <f>IFERROR(TRIM(RIGHT(Quiniela!F138,LEN(Quiniela!F138)-FIND("|",Quiniela!F138))),Quiniela!F138)</f>
        <v/>
      </c>
      <c r="GO2" s="1" t="str">
        <f>IFERROR(TRIM(RIGHT(Quiniela!D141,LEN(Quiniela!D141)-FIND("|",Quiniela!D141))),Quiniela!D141)</f>
        <v/>
      </c>
      <c r="GP2" s="1" t="str">
        <f>IFERROR(TRIM(RIGHT(Quiniela!F141,LEN(Quiniela!F141)-FIND("|",Quiniela!F141))),Quiniela!F141)</f>
        <v/>
      </c>
      <c r="GQ2" s="1" t="str">
        <f>IFERROR(TRIM(RIGHT(Quiniela!D142,LEN(Quiniela!D142)-FIND("|",Quiniela!D142))),Quiniela!D142)</f>
        <v/>
      </c>
      <c r="GR2" s="1" t="str">
        <f>IFERROR(TRIM(RIGHT(Quiniela!F142,LEN(Quiniela!F142)-FIND("|",Quiniela!F142))),Quiniela!F142)</f>
        <v/>
      </c>
      <c r="GS2" s="1" t="str">
        <f>IFERROR(TRIM(RIGHT(Quiniela!D143,LEN(Quiniela!D143)-FIND("|",Quiniela!D143))),Quiniela!D143)</f>
        <v/>
      </c>
      <c r="GT2" s="1" t="str">
        <f>IFERROR(TRIM(RIGHT(Quiniela!F143,LEN(Quiniela!F143)-FIND("|",Quiniela!F143))),Quiniela!F143)</f>
        <v/>
      </c>
      <c r="GU2" s="1" t="str">
        <f>IFERROR(TRIM(RIGHT(Quiniela!D144,LEN(Quiniela!D144)-FIND("|",Quiniela!D144))),Quiniela!D144)</f>
        <v/>
      </c>
      <c r="GV2" s="1" t="str">
        <f>IFERROR(TRIM(RIGHT(Quiniela!F144,LEN(Quiniela!F144)-FIND("|",Quiniela!F144))),Quiniela!F144)</f>
        <v/>
      </c>
      <c r="GW2" s="1" t="str">
        <f>IFERROR(TRIM(RIGHT(Quiniela!D147,LEN(Quiniela!D147)-FIND("|",Quiniela!D147))),Quiniela!D147)</f>
        <v/>
      </c>
      <c r="GX2" s="1" t="str">
        <f>IFERROR(TRIM(RIGHT(Quiniela!F147,LEN(Quiniela!F147)-FIND("|",Quiniela!F147))),Quiniela!F147)</f>
        <v/>
      </c>
      <c r="GY2" s="1" t="str">
        <f>IFERROR(TRIM(RIGHT(Quiniela!D148,LEN(Quiniela!D148)-FIND("|",Quiniela!D148))),Quiniela!D148)</f>
        <v/>
      </c>
      <c r="GZ2" s="1" t="str">
        <f>IFERROR(TRIM(RIGHT(Quiniela!F148,LEN(Quiniela!F148)-FIND("|",Quiniela!F148))),Quiniela!F148)</f>
        <v/>
      </c>
      <c r="HA2" s="1" t="str">
        <f>IFERROR(TRIM(RIGHT(Quiniela!D151,LEN(Quiniela!D151)-FIND("|",Quiniela!D151))),Quiniela!D151)</f>
        <v/>
      </c>
      <c r="HB2" s="1" t="str">
        <f>IFERROR(TRIM(RIGHT(Quiniela!F151,LEN(Quiniela!F151)-FIND("|",Quiniela!F151))),Quiniela!F151)</f>
        <v/>
      </c>
      <c r="HC2" s="1" t="str">
        <f>Quiniela!D153</f>
        <v/>
      </c>
      <c r="HD2" s="1">
        <f>Quiniela!F157</f>
        <v>0</v>
      </c>
      <c r="HE2" s="1">
        <f>Quiniela!F158</f>
        <v>0</v>
      </c>
      <c r="HF2" s="1">
        <f>Quiniela!F159</f>
        <v>0</v>
      </c>
      <c r="HG2" s="1">
        <f>Quiniela!F160</f>
        <v>0</v>
      </c>
      <c r="HH2" s="1">
        <f>Quiniela!F163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Quiniela</vt:lpstr>
      <vt:lpstr>Quiniela!Área_de_impresión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Treviño Cruz Jesus Alejandro</cp:lastModifiedBy>
  <cp:lastPrinted>2026-05-11T02:47:16Z</cp:lastPrinted>
  <dcterms:created xsi:type="dcterms:W3CDTF">2026-03-22T23:08:29Z</dcterms:created>
  <dcterms:modified xsi:type="dcterms:W3CDTF">2026-05-11T04:28:33Z</dcterms:modified>
</cp:coreProperties>
</file>